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phLK85SsEVBECXyctOuBSt3xiXRQHH29RUdgsB4KJQRssEybbnXycfgdm3a8GIGWYC1hSUwVIfWdENGnrmzREg==" workbookSaltValue="WVHAhKkLcbrottVNArCA7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E23" i="12" l="1"/>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BL9" i="1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2" i="16"/>
  <c r="U9" i="17"/>
  <c r="U31" i="17" s="1"/>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1" i="11"/>
  <c r="S18" i="17"/>
  <c r="BM9" i="11"/>
  <c r="BJ17" i="11"/>
  <c r="BK22" i="11"/>
  <c r="BK23" i="11" s="1"/>
  <c r="BL17" i="11"/>
  <c r="BH22" i="11"/>
  <c r="BH23" i="11" s="1"/>
  <c r="X12" i="17"/>
  <c r="L22" i="2"/>
  <c r="X22" i="16"/>
  <c r="S16" i="17"/>
  <c r="S17" i="17"/>
  <c r="L12" i="2"/>
  <c r="X19" i="16"/>
  <c r="X10" i="21"/>
  <c r="L20" i="2"/>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P25" i="11"/>
  <c r="P12"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<sst xmlns="http://schemas.openxmlformats.org/spreadsheetml/2006/main" count="2682" uniqueCount="1193">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</sst>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7t7bD+k16CHKIRpgX6EcFYPOQZntgtM0hOH1Rldd82pTSq87h4LH+OaKUd9NeI6KDoUegWxgghMd5t7En0fqQ==" saltValue="DtBtC8CjfArvPkHxyGX4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6</v>
      </c>
      <c r="F10" s="240">
        <f>IF(ISNUMBER(Datos!K10),Datos!K10," - ")</f>
        <v>1</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220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43.161290322580648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6</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1003</v>
      </c>
      <c r="D17" s="239">
        <f>IF(ISNUMBER(IF(D_I="SI",Datos!I17,Datos!I17+Datos!AC17)),IF(D_I="SI",Datos!I17,Datos!I17+Datos!AC17)," - ")</f>
        <v>1021</v>
      </c>
      <c r="E17" s="240">
        <f>IF(ISNUMBER(IF(D_I="SI",Datos!J17,Datos!J17+Datos!AD17)),IF(D_I="SI",Datos!J17,Datos!J17+Datos!AD17)," - ")</f>
        <v>677</v>
      </c>
      <c r="F17" s="240">
        <f>IF(ISNUMBER(IF(D_I="SI",Datos!K17,Datos!K17+Datos!AE17)),IF(D_I="SI",Datos!K17,Datos!K17+Datos!AE17)," - ")</f>
        <v>596</v>
      </c>
      <c r="G17" s="1390" t="str">
        <f>IF(Datos!E17&lt;&gt;"",Datos!E17,Datos!D17)</f>
        <v>04</v>
      </c>
      <c r="H17" s="241">
        <f>IF(ISNUMBER(IF(D_I="SI",Datos!L17,Datos!L17+Datos!AF17)),IF(D_I="SI",Datos!L17,Datos!L17+Datos!AF17)," - ")</f>
        <v>1084</v>
      </c>
      <c r="I17" s="1400" t="str">
        <f>IF(ISNUMBER(Datos!AS17/Datos!BM17),Datos!AS17/Datos!BM17," - ")</f>
        <v xml:space="preserve"> - </v>
      </c>
      <c r="J17" s="1401">
        <f>IF(ISNUMBER(Datos!BY17/Datos!CN17),Datos!BY17/Datos!CN17," - ")</f>
        <v>0</v>
      </c>
      <c r="K17" s="244">
        <f t="shared" si="3"/>
        <v>8.0757726819541381E-2</v>
      </c>
      <c r="L17" s="1402">
        <f>IF(ISNUMBER(NºAsuntos!I17/NºAsuntos!G17),(NºAsuntos!I17/NºAsuntos!G17)*11," - ")</f>
        <v>20.006711409395972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99</v>
      </c>
      <c r="D18" s="239">
        <f>IF(ISNUMBER(IF(D_I="SI",Datos!I18,Datos!I18+Datos!AC18)),IF(D_I="SI",Datos!I18,Datos!I18+Datos!AC18)," - ")</f>
        <v>99</v>
      </c>
      <c r="E18" s="240">
        <f>IF(ISNUMBER(IF(D_I="SI",Datos!J18,Datos!J18+Datos!AD18)),IF(D_I="SI",Datos!J18,Datos!J18+Datos!AD18)," - ")</f>
        <v>77</v>
      </c>
      <c r="F18" s="240">
        <f>IF(ISNUMBER(IF(D_I="SI",Datos!K18,Datos!K18+Datos!AE18)),IF(D_I="SI",Datos!K18,Datos!K18+Datos!AE18)," - ")</f>
        <v>64</v>
      </c>
      <c r="G18" s="1390" t="str">
        <f>IF(Datos!E18&lt;&gt;"",Datos!E18,Datos!D18)</f>
        <v>37</v>
      </c>
      <c r="H18" s="241">
        <f>IF(ISNUMBER(IF(D_I="SI",Datos!L18,Datos!L18+Datos!AF18)),IF(D_I="SI",Datos!L18,Datos!L18+Datos!AF18)," - ")</f>
        <v>112</v>
      </c>
      <c r="I18" s="1400" t="str">
        <f>IF(ISNUMBER(Datos!AS18/Datos!BM18),Datos!AS18/Datos!BM18," - ")</f>
        <v xml:space="preserve"> - </v>
      </c>
      <c r="J18" s="1401" t="str">
        <f>IF(ISNUMBER((Datos!BY18+Datos!BZ18)/Datos!CN18),(Datos!BY18+Datos!BZ18)/Datos!CN18," - ")</f>
        <v xml:space="preserve"> - </v>
      </c>
      <c r="K18" s="244">
        <f t="shared" si="3"/>
        <v>0.13131313131313133</v>
      </c>
      <c r="L18" s="1402">
        <f>IF(ISNUMBER(NºAsuntos!I18/NºAsuntos!G18),(NºAsuntos!I18/NºAsuntos!G18)*11," - ")</f>
        <v>19.25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1102</v>
      </c>
      <c r="D23" s="1407">
        <f>SUBTOTAL(9,D16:D22)</f>
        <v>1120</v>
      </c>
      <c r="E23" s="1408">
        <f>SUBTOTAL(9,E16:E22)</f>
        <v>754</v>
      </c>
      <c r="F23" s="1408">
        <f>SUBTOTAL(9,F16:F22)</f>
        <v>660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1117</v>
      </c>
      <c r="D31" s="1435">
        <f>SUBTOTAL(9,D9:D30)</f>
        <v>1135</v>
      </c>
      <c r="E31" s="1436">
        <f>SUBTOTAL(9,E9:E30)</f>
        <v>760</v>
      </c>
      <c r="F31" s="1436">
        <f>SUBTOTAL(9,F9:F30)</f>
        <v>661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EEft/RJVt9Qbav+FI85zWJMLtOZOm7NABE1G411Ho6ITTNWkW8gFNCXz80Pe5bw9ajsPZ1OyPkosk639EeEAw==" saltValue="wzLa18+0+hS3y6A32vm5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nOs8KTDY2Bt32UlJFMeaOBYAaz/VytpH6cEsf/ajupX5XFMsW9FpR9veTMSXsPBdSu0Z9xgVbBYFY9UfIKpKw==" saltValue="jGMR06dPPhOd73WoWz6m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6</v>
      </c>
      <c r="K10" s="194">
        <v>1</v>
      </c>
      <c r="L10" s="194">
        <v>20</v>
      </c>
      <c r="M10" s="194">
        <v>0</v>
      </c>
      <c r="N10" s="194">
        <v>0</v>
      </c>
      <c r="O10" s="194">
        <v>0</v>
      </c>
      <c r="P10" s="194">
        <v>1</v>
      </c>
      <c r="Q10" s="194">
        <v>0</v>
      </c>
      <c r="R10" s="194">
        <v>25</v>
      </c>
      <c r="S10" s="194">
        <v>20</v>
      </c>
      <c r="T10" s="194">
        <v>8</v>
      </c>
      <c r="U10" s="194">
        <v>11</v>
      </c>
      <c r="V10" s="194">
        <v>17</v>
      </c>
      <c r="W10" s="194">
        <v>5</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8</v>
      </c>
      <c r="BA10" s="139">
        <f t="shared" si="0"/>
        <v>11</v>
      </c>
      <c r="BB10" s="139">
        <f t="shared" si="0"/>
        <v>17</v>
      </c>
      <c r="BC10" s="135">
        <f t="shared" si="0"/>
        <v>5</v>
      </c>
      <c r="BD10" s="136">
        <f>IF(ISNUMBER(BA10/AZ10),BA10/AZ10," - ")</f>
        <v>1.375</v>
      </c>
      <c r="BE10" s="137">
        <f>IF(ISNUMBER(BB10/BA10),BB10/BA10, " - ")</f>
        <v>1.5454545454545454</v>
      </c>
      <c r="BF10" s="137">
        <f>IF(ISNUMBER(BC10/BA10),BC10/BA10, " - ")</f>
        <v>0.45454545454545453</v>
      </c>
      <c r="BG10" s="209">
        <f>IF(ISNUMBER((AY10+AZ10)/BA10),(AY10+AZ10)/BA10," - ")</f>
        <v>2.5454545454545454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1249</v>
      </c>
      <c r="J12" s="196">
        <v>366</v>
      </c>
      <c r="K12" s="196">
        <v>316</v>
      </c>
      <c r="L12" s="196">
        <v>1299</v>
      </c>
      <c r="M12" s="196">
        <v>88</v>
      </c>
      <c r="N12" s="196">
        <v>114</v>
      </c>
      <c r="O12" s="194">
        <v>133</v>
      </c>
      <c r="P12" s="196">
        <v>104</v>
      </c>
      <c r="Q12" s="196">
        <v>54</v>
      </c>
      <c r="R12" s="196">
        <v>2079</v>
      </c>
      <c r="S12" s="196">
        <v>1234</v>
      </c>
      <c r="T12" s="196">
        <v>250</v>
      </c>
      <c r="U12" s="196">
        <v>279</v>
      </c>
      <c r="V12" s="196">
        <v>1229</v>
      </c>
      <c r="W12" s="196">
        <v>65</v>
      </c>
      <c r="X12" s="202">
        <v>80</v>
      </c>
      <c r="Y12" s="204">
        <v>41</v>
      </c>
      <c r="Z12" s="194">
        <v>23</v>
      </c>
      <c r="AA12" s="194">
        <v>25</v>
      </c>
      <c r="AB12" s="194">
        <v>39</v>
      </c>
      <c r="AC12" s="196">
        <v>0</v>
      </c>
      <c r="AD12" s="196">
        <v>0</v>
      </c>
      <c r="AE12" s="196">
        <v>0</v>
      </c>
      <c r="AF12" s="202">
        <v>0</v>
      </c>
      <c r="AG12" s="215">
        <v>28</v>
      </c>
      <c r="AH12" s="196">
        <v>23</v>
      </c>
      <c r="AI12" s="196">
        <v>19</v>
      </c>
      <c r="AJ12" s="216">
        <v>32</v>
      </c>
      <c r="AK12" s="195">
        <v>0</v>
      </c>
      <c r="AL12" s="196">
        <v>0</v>
      </c>
      <c r="AM12" s="196">
        <v>0</v>
      </c>
      <c r="AN12" s="202">
        <v>0</v>
      </c>
      <c r="AO12" s="283">
        <v>3</v>
      </c>
      <c r="AP12" s="168">
        <v>3</v>
      </c>
      <c r="AQ12" s="168">
        <v>3</v>
      </c>
      <c r="AR12" s="167">
        <v>3</v>
      </c>
      <c r="AS12" s="381" t="s">
        <v>1075</v>
      </c>
      <c r="AT12" s="216"/>
      <c r="AU12" s="215"/>
      <c r="AV12" s="216"/>
      <c r="AW12" s="215"/>
      <c r="AX12" s="216"/>
      <c r="AY12" s="136">
        <f t="shared" si="1"/>
        <v>1262</v>
      </c>
      <c r="AZ12" s="137">
        <f t="shared" si="1"/>
        <v>273</v>
      </c>
      <c r="BA12" s="137">
        <f t="shared" si="1"/>
        <v>298</v>
      </c>
      <c r="BB12" s="137">
        <f t="shared" si="1"/>
        <v>1261</v>
      </c>
      <c r="BC12" s="135">
        <f>IF(ISNUMBER(X12),X12," - ")</f>
        <v>80</v>
      </c>
      <c r="BD12" s="136">
        <f t="shared" si="2"/>
        <v>1.0915750915750915</v>
      </c>
      <c r="BE12" s="137">
        <f t="shared" si="3"/>
        <v>4.2315436241610742</v>
      </c>
      <c r="BF12" s="137">
        <f t="shared" si="4"/>
        <v>0.26845637583892618</v>
      </c>
      <c r="BG12" s="209">
        <f t="shared" si="5"/>
        <v>5.151006711409396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1264</v>
      </c>
      <c r="J14" s="197">
        <f t="shared" si="7"/>
        <v>372</v>
      </c>
      <c r="K14" s="197">
        <f t="shared" si="7"/>
        <v>317</v>
      </c>
      <c r="L14" s="197">
        <f t="shared" si="7"/>
        <v>1319</v>
      </c>
      <c r="M14" s="197">
        <f t="shared" si="7"/>
        <v>88</v>
      </c>
      <c r="N14" s="197">
        <f t="shared" si="7"/>
        <v>114</v>
      </c>
      <c r="O14" s="197">
        <f t="shared" si="7"/>
        <v>133</v>
      </c>
      <c r="P14" s="197">
        <f t="shared" si="7"/>
        <v>105</v>
      </c>
      <c r="Q14" s="197">
        <f t="shared" si="7"/>
        <v>54</v>
      </c>
      <c r="R14" s="197">
        <f t="shared" si="7"/>
        <v>2104</v>
      </c>
      <c r="S14" s="197">
        <f t="shared" si="7"/>
        <v>1254</v>
      </c>
      <c r="T14" s="197">
        <f t="shared" si="7"/>
        <v>258</v>
      </c>
      <c r="U14" s="197">
        <f t="shared" si="7"/>
        <v>290</v>
      </c>
      <c r="V14" s="197">
        <f t="shared" si="7"/>
        <v>1246</v>
      </c>
      <c r="W14" s="197">
        <f t="shared" si="7"/>
        <v>70</v>
      </c>
      <c r="X14" s="197">
        <f t="shared" si="7"/>
        <v>84</v>
      </c>
      <c r="Y14" s="197">
        <f t="shared" si="7"/>
        <v>41</v>
      </c>
      <c r="Z14" s="197">
        <f t="shared" si="7"/>
        <v>23</v>
      </c>
      <c r="AA14" s="197">
        <f t="shared" si="7"/>
        <v>25</v>
      </c>
      <c r="AB14" s="197">
        <f t="shared" si="7"/>
        <v>39</v>
      </c>
      <c r="AC14" s="197">
        <f t="shared" si="7"/>
        <v>0</v>
      </c>
      <c r="AD14" s="197">
        <f t="shared" si="7"/>
        <v>0</v>
      </c>
      <c r="AE14" s="197">
        <f t="shared" si="7"/>
        <v>0</v>
      </c>
      <c r="AF14" s="197">
        <f>SUBTOTAL(9,AF9:AF13)</f>
        <v>0</v>
      </c>
      <c r="AG14" s="197">
        <f t="shared" ref="AG14:AT14" si="8">SUBTOTAL(9,AG8:AG13)</f>
        <v>28</v>
      </c>
      <c r="AH14" s="197">
        <f t="shared" si="8"/>
        <v>23</v>
      </c>
      <c r="AI14" s="197">
        <f t="shared" si="8"/>
        <v>19</v>
      </c>
      <c r="AJ14" s="197">
        <f t="shared" si="8"/>
        <v>32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1282</v>
      </c>
      <c r="AZ14" s="197">
        <f>SUBTOTAL(9,AZ8:AZ13)</f>
        <v>281</v>
      </c>
      <c r="BA14" s="197">
        <f>SUBTOTAL(9,BA8:BA13)</f>
        <v>309</v>
      </c>
      <c r="BB14" s="197">
        <f>SUBTOTAL(9,BB8:BB13)</f>
        <v>1278</v>
      </c>
      <c r="BC14" s="197">
        <f>SUBTOTAL(9,BC8:BC13)</f>
        <v>85</v>
      </c>
      <c r="BD14" s="219">
        <f>IF(ISNUMBER(BA14/AZ14),BA14/AZ14," - ")</f>
        <v>1.0996441281138789</v>
      </c>
      <c r="BE14" s="220">
        <f>IF(ISNUMBER(BB14/BA14),BB14/BA14, " - ")</f>
        <v>4.1359223300970873</v>
      </c>
      <c r="BF14" s="220">
        <f>IF(ISNUMBER(BC14/BA14),BC14/BA14, " - ")</f>
        <v>0.27508090614886732</v>
      </c>
      <c r="BG14" s="221">
        <f>IF(ISNUMBER((AY14+AZ14)/BA14),(AY14+AZ14)/BA14," - ")</f>
        <v>5.058252427184466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1021</v>
      </c>
      <c r="J17" s="196">
        <v>677</v>
      </c>
      <c r="K17" s="196">
        <v>596</v>
      </c>
      <c r="L17" s="196">
        <v>1084</v>
      </c>
      <c r="M17" s="196">
        <v>54</v>
      </c>
      <c r="N17" s="196">
        <v>337</v>
      </c>
      <c r="O17" s="194">
        <v>3</v>
      </c>
      <c r="P17" s="196">
        <v>14</v>
      </c>
      <c r="Q17" s="196">
        <v>11</v>
      </c>
      <c r="R17" s="196">
        <v>72</v>
      </c>
      <c r="S17" s="196">
        <v>810</v>
      </c>
      <c r="T17" s="196">
        <v>386</v>
      </c>
      <c r="U17" s="196">
        <v>398</v>
      </c>
      <c r="V17" s="196">
        <v>845</v>
      </c>
      <c r="W17" s="196">
        <v>52</v>
      </c>
      <c r="X17" s="202">
        <v>237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810</v>
      </c>
      <c r="AZ17" s="137">
        <f t="shared" si="10"/>
        <v>386</v>
      </c>
      <c r="BA17" s="137">
        <f t="shared" si="10"/>
        <v>398</v>
      </c>
      <c r="BB17" s="137">
        <f t="shared" si="10"/>
        <v>845</v>
      </c>
      <c r="BC17" s="135">
        <f>IF(ISNUMBER(W17),W17," - ")</f>
        <v>52</v>
      </c>
      <c r="BD17" s="136">
        <f t="shared" ref="BD17:BD22" si="12">IF(ISNUMBER(BA17/AZ17),BA17/AZ17," - ")</f>
        <v>1.0310880829015545</v>
      </c>
      <c r="BE17" s="137">
        <f t="shared" ref="BE17:BE22" si="13">IF(ISNUMBER(BB17/BA17),BB17/BA17, " - ")</f>
        <v>2.1231155778894473</v>
      </c>
      <c r="BF17" s="137">
        <f t="shared" ref="BF17:BF22" si="14">IF(ISNUMBER(BC17/BA17),BC17/BA17, " - ")</f>
        <v>0.1306532663316583</v>
      </c>
      <c r="BG17" s="209">
        <f t="shared" si="11"/>
        <v>3.0050251256281406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99</v>
      </c>
      <c r="J18" s="196">
        <v>77</v>
      </c>
      <c r="K18" s="196">
        <v>64</v>
      </c>
      <c r="L18" s="196">
        <v>112</v>
      </c>
      <c r="M18" s="196">
        <v>3</v>
      </c>
      <c r="N18" s="196">
        <v>35</v>
      </c>
      <c r="O18" s="196">
        <v>0</v>
      </c>
      <c r="P18" s="196">
        <v>0</v>
      </c>
      <c r="Q18" s="196">
        <v>0</v>
      </c>
      <c r="R18" s="196">
        <v>0</v>
      </c>
      <c r="S18" s="196">
        <v>131</v>
      </c>
      <c r="T18" s="196">
        <v>88</v>
      </c>
      <c r="U18" s="196">
        <v>79</v>
      </c>
      <c r="V18" s="196">
        <v>106</v>
      </c>
      <c r="W18" s="196">
        <v>3</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131</v>
      </c>
      <c r="AZ18" s="139">
        <f t="shared" si="15"/>
        <v>88</v>
      </c>
      <c r="BA18" s="139">
        <f t="shared" si="15"/>
        <v>79</v>
      </c>
      <c r="BB18" s="139">
        <f t="shared" si="15"/>
        <v>106</v>
      </c>
      <c r="BC18" s="135">
        <f>IF(ISNUMBER(W18),W18," - ")</f>
        <v>3</v>
      </c>
      <c r="BD18" s="136">
        <f>IF(ISNUMBER(BA18/AZ18),BA18/AZ18," - ")</f>
        <v>0.89772727272727271</v>
      </c>
      <c r="BE18" s="137">
        <f>IF(ISNUMBER(BB18/BA18),BB18/BA18, " - ")</f>
        <v>1.3417721518987342</v>
      </c>
      <c r="BF18" s="137">
        <f>IF(ISNUMBER(BC18/BA18),BC18/BA18, " - ")</f>
        <v>3.7974683544303799E-2</v>
      </c>
      <c r="BG18" s="209">
        <f>IF(ISNUMBER((AY18+AZ18)/BA18),(AY18+AZ18)/BA18," - ")</f>
        <v>2.7721518987341773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1120</v>
      </c>
      <c r="J23" s="197">
        <f t="shared" si="21"/>
        <v>754</v>
      </c>
      <c r="K23" s="197">
        <f t="shared" si="21"/>
        <v>660</v>
      </c>
      <c r="L23" s="197">
        <f t="shared" si="21"/>
        <v>1196</v>
      </c>
      <c r="M23" s="197">
        <f t="shared" si="21"/>
        <v>57</v>
      </c>
      <c r="N23" s="197">
        <f t="shared" si="21"/>
        <v>372</v>
      </c>
      <c r="O23" s="197">
        <f t="shared" si="21"/>
        <v>3</v>
      </c>
      <c r="P23" s="197">
        <f t="shared" si="21"/>
        <v>14</v>
      </c>
      <c r="Q23" s="197">
        <f t="shared" si="21"/>
        <v>11</v>
      </c>
      <c r="R23" s="197">
        <f t="shared" si="21"/>
        <v>72</v>
      </c>
      <c r="S23" s="197">
        <f t="shared" si="21"/>
        <v>941</v>
      </c>
      <c r="T23" s="197">
        <f t="shared" si="21"/>
        <v>474</v>
      </c>
      <c r="U23" s="197">
        <f t="shared" si="21"/>
        <v>477</v>
      </c>
      <c r="V23" s="197">
        <f t="shared" si="21"/>
        <v>951</v>
      </c>
      <c r="W23" s="197">
        <f t="shared" si="21"/>
        <v>55</v>
      </c>
      <c r="X23" s="197">
        <f t="shared" si="21"/>
        <v>260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941</v>
      </c>
      <c r="AZ23" s="197">
        <f>SUBTOTAL(9,AZ15:AZ22)</f>
        <v>474</v>
      </c>
      <c r="BA23" s="197">
        <f>SUBTOTAL(9,BA15:BA22)</f>
        <v>477</v>
      </c>
      <c r="BB23" s="197">
        <f>SUBTOTAL(9,BB15:BB22)</f>
        <v>951</v>
      </c>
      <c r="BC23" s="197">
        <f>SUBTOTAL(9,BC15:BC22)</f>
        <v>55</v>
      </c>
      <c r="BD23" s="219">
        <f>IF(ISNUMBER(BA23/AZ23),BA23/AZ23," - ")</f>
        <v>1.0063291139240507</v>
      </c>
      <c r="BE23" s="220">
        <f>IF(ISNUMBER(BB23/BA23),BB23/BA23, " - ")</f>
        <v>1.9937106918238994</v>
      </c>
      <c r="BF23" s="220">
        <f>IF(ISNUMBER(BC23/BA23),BC23/BA23, " - ")</f>
        <v>0.11530398322851153</v>
      </c>
      <c r="BG23" s="221">
        <f>IF(ISNUMBER((AY23+AZ23)/BA23),(AY23+AZ23)/BA23," - ")</f>
        <v>2.9664570230607965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2384</v>
      </c>
      <c r="J31" s="144">
        <f t="shared" si="36"/>
        <v>1126</v>
      </c>
      <c r="K31" s="144">
        <f t="shared" si="36"/>
        <v>977</v>
      </c>
      <c r="L31" s="144">
        <f t="shared" si="36"/>
        <v>2515</v>
      </c>
      <c r="M31" s="144">
        <f t="shared" si="36"/>
        <v>145</v>
      </c>
      <c r="N31" s="144">
        <f t="shared" si="36"/>
        <v>486</v>
      </c>
      <c r="O31" s="144">
        <f t="shared" si="36"/>
        <v>136</v>
      </c>
      <c r="P31" s="144">
        <f t="shared" si="36"/>
        <v>119</v>
      </c>
      <c r="Q31" s="144">
        <f t="shared" si="36"/>
        <v>65</v>
      </c>
      <c r="R31" s="144">
        <f t="shared" si="36"/>
        <v>2176</v>
      </c>
      <c r="S31" s="144">
        <f t="shared" si="36"/>
        <v>2195</v>
      </c>
      <c r="T31" s="144">
        <f t="shared" si="36"/>
        <v>732</v>
      </c>
      <c r="U31" s="144">
        <f t="shared" si="36"/>
        <v>767</v>
      </c>
      <c r="V31" s="144">
        <f t="shared" si="36"/>
        <v>2197</v>
      </c>
      <c r="W31" s="144">
        <f t="shared" si="36"/>
        <v>125</v>
      </c>
      <c r="X31" s="144">
        <f t="shared" si="36"/>
        <v>344</v>
      </c>
      <c r="Y31" s="144">
        <f t="shared" si="36"/>
        <v>41</v>
      </c>
      <c r="Z31" s="144">
        <f t="shared" si="36"/>
        <v>23</v>
      </c>
      <c r="AA31" s="144">
        <f t="shared" si="36"/>
        <v>25</v>
      </c>
      <c r="AB31" s="144">
        <f t="shared" si="36"/>
        <v>39</v>
      </c>
      <c r="AC31" s="144">
        <f t="shared" si="36"/>
        <v>0</v>
      </c>
      <c r="AD31" s="144">
        <f t="shared" si="36"/>
        <v>0</v>
      </c>
      <c r="AE31" s="144">
        <f t="shared" si="36"/>
        <v>0</v>
      </c>
      <c r="AF31" s="144">
        <f t="shared" si="36"/>
        <v>0</v>
      </c>
      <c r="AG31" s="144">
        <f t="shared" si="36"/>
        <v>28</v>
      </c>
      <c r="AH31" s="144">
        <f t="shared" si="36"/>
        <v>23</v>
      </c>
      <c r="AI31" s="144">
        <f t="shared" si="36"/>
        <v>19</v>
      </c>
      <c r="AJ31" s="144">
        <f t="shared" si="36"/>
        <v>32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2223</v>
      </c>
      <c r="AZ31" s="144">
        <f>SUBTOTAL(9,AZ9:AZ30)</f>
        <v>755</v>
      </c>
      <c r="BA31" s="144">
        <f>SUBTOTAL(9,BA9:BA30)</f>
        <v>786</v>
      </c>
      <c r="BB31" s="144">
        <f>SUBTOTAL(9,BB9:BB30)</f>
        <v>2229</v>
      </c>
      <c r="BC31" s="145">
        <f>SUBTOTAL(9,BC9:BC30)</f>
        <v>140</v>
      </c>
      <c r="BD31" s="227">
        <f>IF(ISNUMBER(BA31/AZ31),BA31/AZ31," - ")</f>
        <v>1.0410596026490067</v>
      </c>
      <c r="BE31" s="224">
        <f>IF(ISNUMBER(BB31/BA31),BB31/BA31, " - ")</f>
        <v>2.83587786259542</v>
      </c>
      <c r="BF31" s="224">
        <f>IF(ISNUMBER(BC31/BA31),BC31/BA31, " - ")</f>
        <v>0.17811704834605599</v>
      </c>
      <c r="BG31" s="145">
        <f>IF(ISNUMBER((AY31+AZ31)/BA31),(AY31+AZ31)/BA31," - ")</f>
        <v>3.7888040712468194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s+3i9stF2VJThJW2KyiSRpD1KQl87nuHOdrDPmIh6SNv/ojgpwgR30lHGMjFBQgNedvSOAtn6Sa9Qwus99UUg==" saltValue="eLGx5EUYw/HM1evaidec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OkNIAjwjvjkcdQDKTnXoVvnCbtdH0Cs/JlwSWMp7fDbTlCYFCfz5/vimi/kq7zetrRKi/1UOply28dt5YfBFw==" saltValue="GOzqQJhM9yE2OMUWLvIO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NAVALMORAL DE LA MATA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20</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0.16666666666666666</v>
      </c>
      <c r="BH10" s="764">
        <f>IF(ISNUMBER(((Datos!L10/Datos!K10)*11)/factor_trimestre),((Datos!L10/Datos!K10)*11)/factor_trimestre," - ")</f>
        <v>40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4.1666666666666664E-2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104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2079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114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0.87660668380462725</v>
      </c>
      <c r="BH12" s="764">
        <f>IF(ISNUMBER(((IF(J_V="SI",Datos!L12/Datos!K12,(Datos!L12+Datos!AB12)/(Datos!K12+Datos!AA12)))*11)/factor_trimestre),((IF(J_V="SI",Datos!L12/Datos!K12,(Datos!L12+Datos!AB12)/(Datos!K12+Datos!AA12)))*11)/factor_trimestre," - ")</f>
        <v>7.8475073313782993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2.464268112370626E-2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105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54</v>
      </c>
      <c r="AD14" s="1198">
        <f t="shared" si="2"/>
        <v>0</v>
      </c>
      <c r="AE14" s="1198">
        <f t="shared" si="2"/>
        <v>0</v>
      </c>
      <c r="AF14" s="1198">
        <f t="shared" si="2"/>
        <v>20</v>
      </c>
      <c r="AG14" s="1198">
        <f t="shared" si="2"/>
        <v>0</v>
      </c>
      <c r="AH14" s="1198">
        <f t="shared" si="2"/>
        <v>39</v>
      </c>
      <c r="AI14" s="1198">
        <f t="shared" si="2"/>
        <v>0</v>
      </c>
      <c r="AJ14" s="1198">
        <f t="shared" si="2"/>
        <v>0</v>
      </c>
      <c r="AK14" s="1198">
        <f t="shared" si="2"/>
        <v>0</v>
      </c>
      <c r="AL14" s="1198">
        <f t="shared" si="2"/>
        <v>0</v>
      </c>
      <c r="AM14" s="1198">
        <f t="shared" si="2"/>
        <v>2104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v>
      </c>
      <c r="BD14" s="1198">
        <f t="shared" si="2"/>
        <v>114</v>
      </c>
      <c r="BE14" s="1198">
        <f t="shared" si="2"/>
        <v>0</v>
      </c>
      <c r="BF14" s="1198">
        <f t="shared" si="2"/>
        <v>0</v>
      </c>
      <c r="BG14" s="1198">
        <f>IF(ISNUMBER(Datos!K14/Datos!J14),Datos!K14/Datos!J14," - ")</f>
        <v>0.85215053763440862</v>
      </c>
      <c r="BH14" s="1202">
        <f>IF(ISNUMBER(((Datos!L14/Datos!K14)*11)/factor_trimestre),((Datos!L14/Datos!K14)*11)/factor_trimestre," - ")</f>
        <v>8.3217665615141954</v>
      </c>
      <c r="BI14" s="1198">
        <f>IF(ISNUMBER('Resol  Asuntos'!D14/NºAsuntos!G14),'Resol  Asuntos'!D14/NºAsuntos!G14," - ")</f>
        <v>0.25730994152046782</v>
      </c>
      <c r="BJ14" s="1198" t="str">
        <f>IF(ISNUMBER(Datos!CI14/Datos!CJ14),Datos!CI14/Datos!CJ14," - ")</f>
        <v xml:space="preserve"> - </v>
      </c>
      <c r="BK14" s="1198">
        <f>SUBTOTAL(9,BK8:BK13)</f>
        <v>0</v>
      </c>
      <c r="BL14" s="1198">
        <f>IF(ISNUMBER((I14-AB14+L14)/(F14)),(I14-AB14+L14)/(F14)," - ")</f>
        <v>-6.6666666666666666E-2</v>
      </c>
      <c r="BM14" s="1203">
        <f>SUBTOTAL(9,BM9:BM13)</f>
        <v>6.6309347790372924E-2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1003</v>
      </c>
      <c r="G17" s="743">
        <f>IF(ISNUMBER(IF(D_I="SI",Datos!I17,Datos!I17+Datos!AC17)),IF(D_I="SI",Datos!I17,Datos!I17+Datos!AC17)," - ")</f>
        <v>1021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596</v>
      </c>
      <c r="AC17" s="240">
        <f>IF(ISNUMBER(Datos!Q17),Datos!Q17," - ")</f>
        <v>11</v>
      </c>
      <c r="AD17" s="374"/>
      <c r="AE17" s="562"/>
      <c r="AF17" s="741">
        <f>IF(ISNUMBER(IF(D_I="SI",Datos!L17,Datos!L17+Datos!AF17)),IF(D_I="SI",Datos!L17,Datos!L17+Datos!AF17)," - ")</f>
        <v>1084</v>
      </c>
      <c r="AG17" s="374"/>
      <c r="AH17" s="374"/>
      <c r="AI17" s="374"/>
      <c r="AJ17" s="549"/>
      <c r="AK17" s="374"/>
      <c r="AL17" s="545"/>
      <c r="AM17" s="375">
        <f>IF(ISNUMBER(Datos!R17),Datos!R17," - ")</f>
        <v>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337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0.88035450516986702</v>
      </c>
      <c r="BH17" s="764">
        <f>IF(ISNUMBER(((IF(D_I="SI",Datos!L17/Datos!K17,(Datos!L17+Datos!AF17)/(Datos!K17+Datos!AE17)))*11)/factor_trimestre),((IF(D_I="SI",Datos!L17/Datos!K17,(Datos!L17+Datos!AF17)/(Datos!K17+Datos!AE17)))*11)/factor_trimestre," - ")</f>
        <v>3.6375838926174495</v>
      </c>
      <c r="BI17" s="266">
        <f>IF(ISNUMBER('Resol  Asuntos'!D17/NºAsuntos!G17),'Resol  Asuntos'!D17/NºAsuntos!G17," - ")</f>
        <v>9.0604026845637578E-2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64</v>
      </c>
      <c r="AC18" s="547">
        <f>IF(ISNUMBER(Datos!Q18),Datos!Q18," - ")</f>
        <v>0</v>
      </c>
      <c r="AD18" s="549"/>
      <c r="AE18" s="562"/>
      <c r="AF18" s="551">
        <f>IF(ISNUMBER(Datos!L18),Datos!L18,"-")</f>
        <v>112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0.83116883116883122</v>
      </c>
      <c r="BH18" s="764">
        <f>IF(ISNUMBER(((IF(D_I="SI",Datos!L18/Datos!K18,(Datos!L18+Datos!AF18)/(Datos!K18+Datos!AE18)))*11)/factor_trimestre),((IF(D_I="SI",Datos!L18/Datos!K18,(Datos!L18+Datos!AF18)/(Datos!K18+Datos!AE18)))*11)/factor_trimestre," - ")</f>
        <v>3.5</v>
      </c>
      <c r="BI18" s="763">
        <f>IF(ISNUMBER('Resol  Asuntos'!D18/NºAsuntos!G18),'Resol  Asuntos'!D18/NºAsuntos!G18," - ")</f>
        <v>4.6875E-2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1003</v>
      </c>
      <c r="G23" s="1197">
        <f>SUBTOTAL(9,G16:G22)</f>
        <v>1120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660</v>
      </c>
      <c r="AC23" s="1198">
        <f t="shared" si="5"/>
        <v>11</v>
      </c>
      <c r="AD23" s="1198">
        <f t="shared" si="5"/>
        <v>0</v>
      </c>
      <c r="AE23" s="1198">
        <f t="shared" si="5"/>
        <v>0</v>
      </c>
      <c r="AF23" s="1198">
        <f t="shared" si="5"/>
        <v>1196</v>
      </c>
      <c r="AG23" s="1198">
        <f t="shared" si="5"/>
        <v>0</v>
      </c>
      <c r="AH23" s="1198">
        <f t="shared" si="5"/>
        <v>0</v>
      </c>
      <c r="AI23" s="1198">
        <f t="shared" si="5"/>
        <v>0</v>
      </c>
      <c r="AJ23" s="1198">
        <f t="shared" si="5"/>
        <v>0</v>
      </c>
      <c r="AK23" s="1198">
        <f t="shared" si="5"/>
        <v>0</v>
      </c>
      <c r="AL23" s="1198">
        <f t="shared" si="5"/>
        <v>0</v>
      </c>
      <c r="AM23" s="1198">
        <f t="shared" si="5"/>
        <v>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v>
      </c>
      <c r="BD23" s="1198">
        <f t="shared" si="5"/>
        <v>372</v>
      </c>
      <c r="BE23" s="1198">
        <f t="shared" si="5"/>
        <v>0</v>
      </c>
      <c r="BF23" s="1198">
        <f t="shared" si="5"/>
        <v>0</v>
      </c>
      <c r="BG23" s="1198">
        <f>IF(ISNUMBER(Datos!K23/Datos!J23),Datos!K23/Datos!J23," - ")</f>
        <v>0.87533156498673736</v>
      </c>
      <c r="BH23" s="1202">
        <f>IF(ISNUMBER(((Datos!L23/Datos!K23)*11)/factor_trimestre),((Datos!L23/Datos!K23)*11)/factor_trimestre," - ")</f>
        <v>3.6242424242424245</v>
      </c>
      <c r="BI23" s="1198">
        <f>SUBTOTAL(9,BI16:BI22)</f>
        <v>0.13747902684563756</v>
      </c>
      <c r="BJ23" s="1198">
        <f>SUBTOTAL(9,BJ16:BJ22)</f>
        <v>0</v>
      </c>
      <c r="BK23" s="1198">
        <f>SUBTOTAL(9,BK16:BK22)</f>
        <v>0</v>
      </c>
      <c r="BL23" s="1198">
        <f>IF(ISNUMBER((I23-AB23+L23)/(F23)),(I23-AB23+L23)/(F23)," - ")</f>
        <v>-0.65802592223330014</v>
      </c>
      <c r="BM23" s="1205">
        <f>IF(ISNUMBER((Datos!P23-Datos!Q23)/(Datos!R23-Datos!P23+Datos!Q23)),(Datos!P23-Datos!Q23)/(Datos!R23-Datos!P23+Datos!Q23)," - ")</f>
        <v>4.3478260869565216E-2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1018</v>
      </c>
      <c r="G31" s="1117">
        <f t="shared" si="18"/>
        <v>1135</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119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661</v>
      </c>
      <c r="AC31" s="1118">
        <f t="shared" si="19"/>
        <v>65</v>
      </c>
      <c r="AD31" s="1118">
        <f t="shared" si="19"/>
        <v>0</v>
      </c>
      <c r="AE31" s="1118">
        <f t="shared" si="19"/>
        <v>0</v>
      </c>
      <c r="AF31" s="1125">
        <f t="shared" si="19"/>
        <v>1216</v>
      </c>
      <c r="AG31" s="1125">
        <f t="shared" si="19"/>
        <v>0</v>
      </c>
      <c r="AH31" s="1125">
        <f t="shared" si="19"/>
        <v>39</v>
      </c>
      <c r="AI31" s="1125">
        <f t="shared" si="19"/>
        <v>0</v>
      </c>
      <c r="AJ31" s="1118">
        <f t="shared" si="19"/>
        <v>0</v>
      </c>
      <c r="AK31" s="1125">
        <f t="shared" si="19"/>
        <v>0</v>
      </c>
      <c r="AL31" s="1125">
        <f t="shared" si="19"/>
        <v>0</v>
      </c>
      <c r="AM31" s="1125">
        <f t="shared" si="19"/>
        <v>2176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145</v>
      </c>
      <c r="BD31" s="1117">
        <f t="shared" si="19"/>
        <v>486</v>
      </c>
      <c r="BE31" s="1117">
        <f t="shared" si="19"/>
        <v>0</v>
      </c>
      <c r="BF31" s="1127">
        <f t="shared" si="19"/>
        <v>0</v>
      </c>
      <c r="BG31" s="1223">
        <f>IF(ISNUMBER(Datos!K31/Datos!J31),Datos!K31/Datos!J31," - ")</f>
        <v>0.86767317939609234</v>
      </c>
      <c r="BH31" s="1223">
        <f>IF(ISNUMBER(((Datos!L31/Datos!K31)*11)/factor_trimestre),((Datos!L31/Datos!K31)*11)/factor_trimestre," - ")</f>
        <v>5.1484135107471856</v>
      </c>
      <c r="BI31" s="1103">
        <f>IF(ISNUMBER(Datos!J31/Datos!I31),Datos!J31/Datos!I31," - ")</f>
        <v>0.47231543624161076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-0.64931237721021606</v>
      </c>
      <c r="BM31" s="1188">
        <f>IF(ISNUMBER((Datos!P31-Datos!Q31+R31)/(Datos!R31-Datos!P31+Datos!Q31-R31)),(Datos!P31-Datos!Q31+R31)/(Datos!R31-Datos!P31+Datos!Q31-R31)," - ")</f>
        <v>2.5447690857681431E-2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514.11775564229129</v>
      </c>
      <c r="G33" s="674">
        <f>IF(ISNUMBER(STDEV(G8:G30)),STDEV(G8:G30),"-")</f>
        <v>511.69056869873816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301.45338421909094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39.909719546568027</v>
      </c>
      <c r="BD33" s="673"/>
      <c r="BE33" s="673">
        <f>IF(ISNUMBER(STDEV(BE8:BE30)),STDEV(BE8:BE30),"-")</f>
        <v>0</v>
      </c>
      <c r="BF33" s="678">
        <f>IF(ISNUMBER(STDEV(BF8:BF30)),STDEV(BF8:BF30),"-")</f>
        <v>0</v>
      </c>
      <c r="BG33" s="1052">
        <f>IF(ISNUMBER(STDEV(BG8:BG30)),STDEV(BG8:BG30),"-")</f>
        <v>0.28494845135106939</v>
      </c>
      <c r="BH33" s="1058">
        <f>IF(ISNUMBER(STDEV(BH8:BH30)),STDEV(BH8:BH30),"-")</f>
        <v>14.302612515652948</v>
      </c>
      <c r="BI33" s="273">
        <f>IF(ISNUMBER(STDEV(BI8:BI30)),STDEV(BI8:BI30),"-")</f>
        <v>9.0715561788212704E-2</v>
      </c>
      <c r="BJ33" s="244" t="str">
        <f>IF(ISNUMBER(BL33/BM33),BL33/BM33," - ")</f>
        <v xml:space="preserve"> - </v>
      </c>
      <c r="BK33" s="709"/>
      <c r="BL33" s="681">
        <f>IF(ISNUMBER(STDEV(BL8:BL30)),STDEV(BL8:BL30),"-")</f>
        <v>0.41815413972859516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IrAPpx9HTsd5PLv9RmqhQIoV6JrH+abWfm16xNz7HLrFiWRfEQ83jXfg8mv+Nv7hahWnsb4RuvH7UD+8vH7YQ==" saltValue="fyLViCMcrLYsIfHW2Rux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NAVALMORAL DE LA MATA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20</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4.1666666666666664E-2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v>
      </c>
      <c r="AA12" s="551" t="str">
        <f>IF(ISNUMBER(IF(J_V="SI",Datos!L12,Datos!L12+Datos!AB12)-IF(Monitorios="SI",Datos!CD12,0)),
                          IF(J_V="SI",Datos!L12,Datos!L12+Datos!AB12)-IF(Monitorios="SI",Datos!CD12,0),
                          " - ")</f>
        <v xml:space="preserve"> - </v>
      </c>
      <c r="AB12" s="549"/>
      <c r="AC12" s="549"/>
      <c r="AD12" s="563"/>
      <c r="AE12" s="563">
        <f>IF(ISNUMBER(Datos!R12),Datos!R12," - ")</f>
        <v>2079</v>
      </c>
      <c r="AF12" s="693" t="str">
        <f>IF(ISNUMBER(Datos!BV12),Datos!BV12," - ")</f>
        <v xml:space="preserve"> - </v>
      </c>
      <c r="AG12" s="552" t="str">
        <f>IF(ISNUMBER(Datos!DV12),Datos!DV12," - ")</f>
        <v xml:space="preserve"> - </v>
      </c>
      <c r="AH12" s="553"/>
      <c r="AI12" s="554"/>
      <c r="AJ12" s="552">
        <f>IF(ISNUMBER(Datos!M12),Datos!M12," - ")</f>
        <v>88</v>
      </c>
      <c r="AK12" s="693">
        <f>IF(ISNUMBER(Datos!N12),Datos!N12," - ")</f>
        <v>114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7.8475073313782993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2.464268112370626E-2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54</v>
      </c>
      <c r="AA14" s="1199">
        <f t="shared" si="3"/>
        <v>20</v>
      </c>
      <c r="AB14" s="1199">
        <f t="shared" si="3"/>
        <v>0</v>
      </c>
      <c r="AC14" s="1199">
        <f t="shared" si="3"/>
        <v>0</v>
      </c>
      <c r="AD14" s="1199">
        <f t="shared" si="3"/>
        <v>0</v>
      </c>
      <c r="AE14" s="1199">
        <f t="shared" si="3"/>
        <v>2104</v>
      </c>
      <c r="AF14" s="1211">
        <f t="shared" si="3"/>
        <v>0</v>
      </c>
      <c r="AG14" s="1211">
        <f t="shared" si="3"/>
        <v>0</v>
      </c>
      <c r="AH14" s="1211">
        <f t="shared" si="3"/>
        <v>0</v>
      </c>
      <c r="AI14" s="1211">
        <f t="shared" si="3"/>
        <v>0</v>
      </c>
      <c r="AJ14" s="1211">
        <f t="shared" si="3"/>
        <v>88</v>
      </c>
      <c r="AK14" s="1211">
        <f t="shared" si="3"/>
        <v>114</v>
      </c>
      <c r="AL14" s="1211">
        <f t="shared" si="3"/>
        <v>0</v>
      </c>
      <c r="AM14" s="1211">
        <f t="shared" si="3"/>
        <v>0</v>
      </c>
      <c r="AN14" s="1211">
        <f t="shared" si="3"/>
        <v>0</v>
      </c>
      <c r="AO14" s="1203">
        <f>IF(ISNUMBER(((NºAsuntos!I14/NºAsuntos!G14)*11)/factor_trimestre),((NºAsuntos!I14/NºAsuntos!G14)*11)/factor_trimestre," - ")</f>
        <v>7.9415204678362565</v>
      </c>
      <c r="AP14" s="1213" t="str">
        <f>IF(ISNUMBER(Datos!CI14/Datos!CJ14),Datos!CI14/Datos!CJ14," - ")</f>
        <v xml:space="preserve"> - </v>
      </c>
      <c r="AQ14" s="1236">
        <f t="shared" ref="AQ14:AV14" si="4">SUBTOTAL(9,AQ9:AQ13)</f>
        <v>0</v>
      </c>
      <c r="AR14" s="1236">
        <f t="shared" si="4"/>
        <v>6.6309347790372924E-2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1003</v>
      </c>
      <c r="G17" s="552">
        <f>IF(ISNUMBER(IF(D_I="SI",Datos!I17,Datos!I17+Datos!AC17)),IF(D_I="SI",Datos!I17,Datos!I17+Datos!AC17)," - ")</f>
        <v>1021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596</v>
      </c>
      <c r="Z17" s="805">
        <f>IF(ISNUMBER(Datos!Q17),Datos!Q17," - ")</f>
        <v>11</v>
      </c>
      <c r="AA17" s="551">
        <f>IF(ISNUMBER(IF(D_I="SI",Datos!L17,Datos!L17+Datos!AF17)),IF(D_I="SI",Datos!L17,Datos!L17+Datos!AF17)," - ")</f>
        <v>1084</v>
      </c>
      <c r="AB17" s="549"/>
      <c r="AC17" s="549"/>
      <c r="AD17" s="563"/>
      <c r="AE17" s="563">
        <f>IF(ISNUMBER(Datos!R17),Datos!R17," - ")</f>
        <v>72</v>
      </c>
      <c r="AF17" s="693" t="str">
        <f>IF(ISNUMBER(Datos!BV17),Datos!BV17," - ")</f>
        <v xml:space="preserve"> - </v>
      </c>
      <c r="AG17" s="552"/>
      <c r="AH17" s="553"/>
      <c r="AI17" s="554"/>
      <c r="AJ17" s="552">
        <f>IF(ISNUMBER(Datos!M17),Datos!M17," - ")</f>
        <v>54</v>
      </c>
      <c r="AK17" s="693">
        <f>IF(ISNUMBER(Datos!N17),Datos!N17," - ")</f>
        <v>337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3.6375838926174495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64</v>
      </c>
      <c r="Z18" s="805">
        <f>IF(ISNUMBER(Datos!Q18),Datos!Q18," - ")</f>
        <v>0</v>
      </c>
      <c r="AA18" s="551">
        <f>IF(ISNUMBER(Datos!L18),Datos!L18,"-")</f>
        <v>112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1003</v>
      </c>
      <c r="G23" s="1197">
        <f>SUBTOTAL(9,G16:G22)</f>
        <v>1120</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660</v>
      </c>
      <c r="Z23" s="1240">
        <f t="shared" si="6"/>
        <v>11</v>
      </c>
      <c r="AA23" s="1240">
        <f t="shared" si="6"/>
        <v>1196</v>
      </c>
      <c r="AB23" s="1240">
        <f t="shared" si="6"/>
        <v>0</v>
      </c>
      <c r="AC23" s="1240">
        <f t="shared" si="6"/>
        <v>0</v>
      </c>
      <c r="AD23" s="1240">
        <f t="shared" si="6"/>
        <v>0</v>
      </c>
      <c r="AE23" s="1240">
        <f t="shared" si="6"/>
        <v>72</v>
      </c>
      <c r="AF23" s="1240">
        <f t="shared" si="6"/>
        <v>0</v>
      </c>
      <c r="AG23" s="1240">
        <f t="shared" si="6"/>
        <v>0</v>
      </c>
      <c r="AH23" s="1240">
        <f t="shared" si="6"/>
        <v>0</v>
      </c>
      <c r="AI23" s="1240">
        <f t="shared" si="6"/>
        <v>0</v>
      </c>
      <c r="AJ23" s="1240">
        <f t="shared" si="6"/>
        <v>57</v>
      </c>
      <c r="AK23" s="1240">
        <f t="shared" si="6"/>
        <v>372</v>
      </c>
      <c r="AL23" s="1240">
        <f t="shared" si="6"/>
        <v>0</v>
      </c>
      <c r="AM23" s="1240">
        <f t="shared" si="6"/>
        <v>0</v>
      </c>
      <c r="AN23" s="1240">
        <f t="shared" si="6"/>
        <v>0</v>
      </c>
      <c r="AO23" s="1242">
        <f>IF(ISNUMBER(((NºAsuntos!I23/NºAsuntos!G23)*11)/factor_trimestre),((NºAsuntos!I23/NºAsuntos!G23)*11)/factor_trimestre," - ")</f>
        <v>3.6242424242424245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1018</v>
      </c>
      <c r="G31" s="1117">
        <f t="shared" si="12"/>
        <v>1135</v>
      </c>
      <c r="H31" s="1118">
        <f t="shared" si="12"/>
        <v>0</v>
      </c>
      <c r="I31" s="1117">
        <f t="shared" si="12"/>
        <v>0</v>
      </c>
      <c r="J31" s="1119">
        <f t="shared" si="12"/>
        <v>0</v>
      </c>
      <c r="K31" s="1117">
        <f t="shared" si="12"/>
        <v>0</v>
      </c>
      <c r="L31" s="1120">
        <f t="shared" si="12"/>
        <v>0</v>
      </c>
      <c r="M31" s="1117">
        <f t="shared" si="12"/>
        <v>0</v>
      </c>
      <c r="N31" s="1118">
        <f t="shared" si="12"/>
        <v>119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661</v>
      </c>
      <c r="Z31" s="1124">
        <f t="shared" si="13"/>
        <v>65</v>
      </c>
      <c r="AA31" s="1125">
        <f t="shared" si="13"/>
        <v>1216</v>
      </c>
      <c r="AB31" s="1125">
        <f t="shared" si="13"/>
        <v>0</v>
      </c>
      <c r="AC31" s="1125">
        <f t="shared" si="13"/>
        <v>0</v>
      </c>
      <c r="AD31" s="1126">
        <f t="shared" si="13"/>
        <v>0</v>
      </c>
      <c r="AE31" s="1126">
        <f t="shared" si="13"/>
        <v>2176</v>
      </c>
      <c r="AF31" s="1127">
        <f t="shared" si="13"/>
        <v>0</v>
      </c>
      <c r="AG31" s="1128">
        <f t="shared" si="13"/>
        <v>0</v>
      </c>
      <c r="AH31" s="1129">
        <f t="shared" si="13"/>
        <v>0</v>
      </c>
      <c r="AI31" s="1127">
        <f t="shared" si="13"/>
        <v>0</v>
      </c>
      <c r="AJ31" s="1117">
        <f t="shared" si="13"/>
        <v>145</v>
      </c>
      <c r="AK31" s="1117">
        <f t="shared" si="13"/>
        <v>486</v>
      </c>
      <c r="AL31" s="1117">
        <f t="shared" si="13"/>
        <v>0</v>
      </c>
      <c r="AM31" s="1130">
        <f t="shared" si="13"/>
        <v>0</v>
      </c>
      <c r="AN31" s="1120">
        <f>IF(ISNUMBER(Datos!K31/Datos!J31),Datos!K31/Datos!J31," - ")</f>
        <v>0.86767317939609234</v>
      </c>
      <c r="AO31" s="1120">
        <f>IF(ISNUMBER(FIND("06",Criterios!A8,1)),(IF(ISNUMBER(((Datos!R31/Datos!Q31)*11)/factor_trimestre),((Datos!R31/Datos!Q31)*11)/factor_trimestre," - ")),(IF(ISNUMBER(((Datos!L31/Datos!K31)*11)/factor_trimestre),((Datos!L31/Datos!K31)*11)/factor_trimestre," - ")))</f>
        <v>5.1484135107471856</v>
      </c>
      <c r="AP31" s="1131" t="str">
        <f>IF(ISNUMBER(Datos!CI31/Datos!CJ31),Datos!CI31/Datos!CJ31," - ")</f>
        <v xml:space="preserve"> - </v>
      </c>
      <c r="AQ31" s="1131">
        <f>IF(OR(ISNUMBER(FIND("01",Criterios!A8,1)),ISNUMBER(FIND("02",Criterios!A8,1)),ISNUMBER(FIND("03",Criterios!A8,1)),ISNUMBER(FIND("04",Criterios!A8,1))),(J31-Y31+K31)/(F31-K31),(I31-Y31+K31)/(F31-K31))</f>
        <v>-0.64931237721021606</v>
      </c>
      <c r="AR31" s="1131">
        <f>IF(ISNUMBER((Datos!P31-Datos!Q31+O31)/(Datos!R31-Datos!P31+Datos!Q31-O31)),(Datos!P31-Datos!Q31+O31)/(Datos!R31-Datos!P31+Datos!Q31-O31)," - ")</f>
        <v>2.5447690857681431E-2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514.11775564229129</v>
      </c>
      <c r="G33" s="674">
        <f>IF(ISNUMBER(STDEV(G8:G30)),STDEV(G8:G30),"-")</f>
        <v>511.69056869873816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39.909719546568027</v>
      </c>
      <c r="AK33" s="276"/>
      <c r="AL33" s="276">
        <f>IF(ISNUMBER(STDEV(AL8:AL30)),STDEV(AL8:AL30),"-")</f>
        <v>0</v>
      </c>
      <c r="AM33" s="278">
        <f>IF(ISNUMBER(STDEV(AM8:AM30)),STDEV(AM8:AM30),"-")</f>
        <v>0</v>
      </c>
      <c r="AN33" s="660">
        <f>IF(ISNUMBER(STDEV(AN8:AN30)),STDEV(AN8:AN30),"-")</f>
        <v>0</v>
      </c>
      <c r="AO33" s="661">
        <f>IF(ISNUMBER(STDEV(AO8:AO30)),STDEV(AO8:AO30),"-")</f>
        <v>14.31851182527549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HbYkGoiuw23J9JYZQKYK20GZkny62vrmZ7iFheojW6byMvWinbzExxXV9sqGdX3NHfns3hSWW64fd0EzLtpqA==" saltValue="wwHMqeXY03H/NjSMLyZU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S5lk2OQWeNOE0D4GtSlL8Vy8Jkw19w1HOiPySiSVdcdtU9jCtl6JClAU+ZwDRMVrnA6oe+DFJ7k26j2d19lLQ==" saltValue="VNgNRsh7MUKij3sHfvpO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O0ZnfquoVDWxoUUNG93bFxjVS17aDklkVsKXqaZezX+PeFsP5QLLchTtn5bPvFsITbpmGp22JH3pr/iTRp61w==" saltValue="PKGbvdNDY/KRFtNhWbuL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NAVALMORAL DE LA MATA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0.25730994152046782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0.1819456045158368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KUskXX2O/PqJQMce6R/NmDYqO4lZ91eiWalF1uiKolEQjri44OzWfavK+A9huuLz79w1AYluWc4N2b6CMcjog==" saltValue="uGwM2LtHZiOXrDKurSLS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XcQ+KyKQsdokC2UZpPaDiwNKgX8HbE6bMI2GgkbOeeRl+oXM6oENRmxV7Jd34H1a3hxmYy8QLohKQIUePARWg==" saltValue="7OhvStFjpMQQwSJd5gFm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NAVALMORAL DE LA MATA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6</v>
      </c>
      <c r="F10" s="452">
        <f>IF(ISNUMBER(E10/B10),E10/B10," - ")</f>
        <v>6</v>
      </c>
      <c r="G10" s="451">
        <f>IF(ISNUMBER(Datos!K10),Datos!K10," - ")</f>
        <v>1</v>
      </c>
      <c r="H10" s="452">
        <f>IF(ISNUMBER(G10/B10),G10/B10," - ")</f>
        <v>1</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1290</v>
      </c>
      <c r="D12" s="452">
        <f>IF(ISNUMBER(C12/Datos!BH12),C12/Datos!BH12," - ")</f>
        <v>430</v>
      </c>
      <c r="E12" s="451">
        <f>IF(ISNUMBER(IF(J_V="SI",Datos!J12,Datos!J12+Datos!Z12)),IF(J_V="SI",Datos!J12,Datos!J12+Datos!Z12)," - ")</f>
        <v>389</v>
      </c>
      <c r="F12" s="452">
        <f>IF(ISNUMBER(E12/B12),E12/B12," - ")</f>
        <v>129.66666666666666</v>
      </c>
      <c r="G12" s="451">
        <f>IF(ISNUMBER(IF(J_V="SI",Datos!K12,Datos!K12+Datos!AA12)),IF(J_V="SI",Datos!K12,Datos!K12+Datos!AA12)," - ")</f>
        <v>341</v>
      </c>
      <c r="H12" s="452">
        <f>IF(ISNUMBER(G12/B12),G12/B12," - ")</f>
        <v>113.66666666666667</v>
      </c>
      <c r="I12" s="451">
        <f>IF(ISNUMBER(IF(J_V="SI",Datos!L12,Datos!L12+Datos!AB12)),IF(J_V="SI",Datos!L12,Datos!L12+Datos!AB12)," - ")</f>
        <v>1338</v>
      </c>
      <c r="J12" s="452">
        <f>IF(ISNUMBER(I12/B12),I12/B12," - ")</f>
        <v>446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1305</v>
      </c>
      <c r="D14" s="1147" t="str">
        <f>IF(ISNUMBER(C14/Datos!BI14),C14/Datos!BI14," - ")</f>
        <v xml:space="preserve"> - </v>
      </c>
      <c r="E14" s="1146">
        <f>SUBTOTAL(9,E8:E13)</f>
        <v>395</v>
      </c>
      <c r="F14" s="1147">
        <f>IF(ISNUMBER(E14/B14),E14/B14," - ")</f>
        <v>131.66666666666666</v>
      </c>
      <c r="G14" s="1146">
        <f>SUBTOTAL(9,G8:G13)</f>
        <v>342</v>
      </c>
      <c r="H14" s="1147">
        <f>IF(ISNUMBER(G14/B14),G14/B14," - ")</f>
        <v>114</v>
      </c>
      <c r="I14" s="1146">
        <f>SUBTOTAL(9,I8:I13)</f>
        <v>1358</v>
      </c>
      <c r="J14" s="1147">
        <f>IF(ISNUMBER(I14/B14),I14/B14," - ")</f>
        <v>452.66666666666669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1021</v>
      </c>
      <c r="D17" s="452">
        <f>IF(ISNUMBER(C17/Datos!BH17),C17/Datos!BH17," - ")</f>
        <v>340.33333333333331</v>
      </c>
      <c r="E17" s="451">
        <f>IF(ISNUMBER(IF(D_I="SI",Datos!J17,Datos!J17+Datos!AD17)),IF(D_I="SI",Datos!J17,Datos!J17+Datos!AD17)," - ")</f>
        <v>677</v>
      </c>
      <c r="F17" s="452">
        <f>IF(ISNUMBER(E17/B17),E17/B17," - ")</f>
        <v>225.66666666666666</v>
      </c>
      <c r="G17" s="451">
        <f>IF(ISNUMBER(IF(D_I="SI",Datos!K17,Datos!K17+Datos!AE17)),IF(D_I="SI",Datos!K17,Datos!K17+Datos!AE17)," - ")</f>
        <v>596</v>
      </c>
      <c r="H17" s="452">
        <f>IF(ISNUMBER(G17/B17),G17/B17," - ")</f>
        <v>198.66666666666666</v>
      </c>
      <c r="I17" s="451">
        <f>IF(ISNUMBER(IF(D_I="SI",Datos!L17,Datos!L17+Datos!AF17)),IF(D_I="SI",Datos!L17,Datos!L17+Datos!AF17)," - ")</f>
        <v>1084</v>
      </c>
      <c r="J17" s="452">
        <f>IF(ISNUMBER(I17/B17),I17/B17," - ")</f>
        <v>361.33333333333331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99</v>
      </c>
      <c r="D18" s="452">
        <f>IF(ISNUMBER(C18/Datos!BH18),C18/Datos!BH18," - ")</f>
        <v>99</v>
      </c>
      <c r="E18" s="451">
        <f>IF(ISNUMBER(IF(D_I="SI",Datos!J18,Datos!J18+Datos!AD18)),IF(D_I="SI",Datos!J18,Datos!J18+Datos!AD18)," - ")</f>
        <v>77</v>
      </c>
      <c r="F18" s="452">
        <f>IF(ISNUMBER(E18/B18),E18/B18," - ")</f>
        <v>77</v>
      </c>
      <c r="G18" s="451">
        <f>IF(ISNUMBER(IF(D_I="SI",Datos!K18,Datos!K18+Datos!AE18)),IF(D_I="SI",Datos!K18,Datos!K18+Datos!AE18)," - ")</f>
        <v>64</v>
      </c>
      <c r="H18" s="452">
        <f>IF(ISNUMBER(G18/B18),G18/B18," - ")</f>
        <v>64</v>
      </c>
      <c r="I18" s="451">
        <f>IF(ISNUMBER(IF(D_I="SI",Datos!L18,Datos!L18+Datos!AF18)),IF(D_I="SI",Datos!L18,Datos!L18+Datos!AF18)," - ")</f>
        <v>112</v>
      </c>
      <c r="J18" s="452">
        <f>IF(ISNUMBER(I18/B18),I18/B18," - ")</f>
        <v>112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1120</v>
      </c>
      <c r="D23" s="1147" t="str">
        <f>IF(ISNUMBER(C23/Datos!BI23),C23/Datos!BI23," - ")</f>
        <v xml:space="preserve"> - </v>
      </c>
      <c r="E23" s="1146">
        <f>SUBTOTAL(9,E15:E22)</f>
        <v>754</v>
      </c>
      <c r="F23" s="1147">
        <f>IF(ISNUMBER(E23/B23),E23/B23," - ")</f>
        <v>251.33333333333334</v>
      </c>
      <c r="G23" s="1146">
        <f>SUBTOTAL(9,G15:G22)</f>
        <v>660</v>
      </c>
      <c r="H23" s="1147">
        <f>IF(ISNUMBER(G23/B23),G23/B23," - ")</f>
        <v>220</v>
      </c>
      <c r="I23" s="1146">
        <f>SUBTOTAL(9,I15:I22)</f>
        <v>1196</v>
      </c>
      <c r="J23" s="1147">
        <f>IF(ISNUMBER(I23/B23),I23/B23," - ")</f>
        <v>398.66666666666669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2425</v>
      </c>
      <c r="D31" s="1085" t="str">
        <f>IF(ISNUMBER(C31/Datos!BI31),C31/Datos!BI31," - ")</f>
        <v xml:space="preserve"> - </v>
      </c>
      <c r="E31" s="1084">
        <f>SUBTOTAL(9,E9:E30)</f>
        <v>1149</v>
      </c>
      <c r="F31" s="1085">
        <f>IF(ISNUMBER(E31/B31),E31/B31," - ")</f>
        <v>383</v>
      </c>
      <c r="G31" s="1084">
        <f>SUBTOTAL(9,G9:G30)</f>
        <v>1002</v>
      </c>
      <c r="H31" s="1085">
        <f>IF(ISNUMBER(G31/B31),G31/B31," - ")</f>
        <v>334</v>
      </c>
      <c r="I31" s="1084">
        <f>SUBTOTAL(9,I9:I30)</f>
        <v>2554</v>
      </c>
      <c r="J31" s="1085">
        <f>IF(ISNUMBER(I31/B31),I31/B31," - ")</f>
        <v>851.33333333333337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xSviI6GW5QFgkGRAQEVoYNUxi0UImlB5V3UP0sObNHTkwallJNdssVUDy8663A2f0BT4kEHrCfU+8WatEDaFg==" saltValue="LLgHNv/boA5VhfeYr8OO5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NAVALMORAL DE LA MATA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114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7.8475073313782993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2.464268112370626E-2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54</v>
      </c>
      <c r="AE14" s="1257">
        <f t="shared" si="1"/>
        <v>0</v>
      </c>
      <c r="AF14" s="1257">
        <f t="shared" si="1"/>
        <v>20</v>
      </c>
      <c r="AG14" s="1257">
        <f t="shared" si="1"/>
        <v>0</v>
      </c>
      <c r="AH14" s="1257">
        <f t="shared" si="1"/>
        <v>2079</v>
      </c>
      <c r="AI14" s="1257">
        <f t="shared" si="1"/>
        <v>0</v>
      </c>
      <c r="AJ14" s="1257">
        <f t="shared" si="1"/>
        <v>0</v>
      </c>
      <c r="AK14" s="1257">
        <f t="shared" si="1"/>
        <v>0</v>
      </c>
      <c r="AL14" s="1257">
        <f t="shared" si="1"/>
        <v>88</v>
      </c>
      <c r="AM14" s="1257">
        <f t="shared" si="1"/>
        <v>114</v>
      </c>
      <c r="AN14" s="1257">
        <f t="shared" si="1"/>
        <v>0</v>
      </c>
      <c r="AO14" s="1257">
        <f t="shared" si="1"/>
        <v>0</v>
      </c>
      <c r="AP14" s="1262">
        <f>IF(ISNUMBER(((Datos!L14/Datos!K14)*11)/factor_trimestre),((Datos!L14/Datos!K14)*11)/factor_trimestre," - ")</f>
        <v>8.3217665615141954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-6.6666666666666666E-2</v>
      </c>
      <c r="AU14" s="1257" t="str">
        <f>IF(ISNUMBER((DatosP!#REF!-DatosP!#REF!+DatosP!#REF!)/(DatosP!#REF!+DatosP!#REF!-DatosP!#REF!-DatosP!#REF!)),(DatosP!#REF!-DatosP!#REF!+DatosP!#REF!)/(DatosP!#REF!+DatosP!#REF!-DatosP!#REF!-DatosP!#REF!)," - ")</f>
        <v xml:space="preserve"> - </v>
      </c>
      <c r="AV14" s="1263">
        <f>SUBTOTAL(9,AV9:AV13)</f>
        <v>2.464268112370626E-2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3.6242424242424245</v>
      </c>
      <c r="AQ23" s="1262">
        <f>IF(ISNUMBER(((Datos!M23/Datos!L23)*11)/factor_trimestre),((Datos!M23/Datos!L23)*11)/factor_trimestre," - ")</f>
        <v>9.5317725752508367E-2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4.3478260869565216E-2</v>
      </c>
      <c r="AW23" s="1265">
        <f>IF(ISNUMBER((Datos!Q23-Datos!R23)/(Datos!S23-Datos!Q23+Datos!R23)),(Datos!Q23-Datos!R23)/(Datos!S23-Datos!Q23+Datos!R23)," - ")</f>
        <v>-6.0878243512974051E-2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54</v>
      </c>
      <c r="AE31" s="1284">
        <f t="shared" si="9"/>
        <v>0</v>
      </c>
      <c r="AF31" s="1285">
        <f t="shared" si="9"/>
        <v>20</v>
      </c>
      <c r="AG31" s="1285">
        <f t="shared" si="9"/>
        <v>0</v>
      </c>
      <c r="AH31" s="1285">
        <f t="shared" si="9"/>
        <v>2079</v>
      </c>
      <c r="AI31" s="1285">
        <f t="shared" si="9"/>
        <v>0</v>
      </c>
      <c r="AJ31" s="1286">
        <f t="shared" si="9"/>
        <v>0</v>
      </c>
      <c r="AK31" s="1286">
        <f t="shared" si="9"/>
        <v>0</v>
      </c>
      <c r="AL31" s="1278">
        <f t="shared" si="9"/>
        <v>88</v>
      </c>
      <c r="AM31" s="1278">
        <f t="shared" si="9"/>
        <v>114</v>
      </c>
      <c r="AN31" s="1278">
        <f t="shared" si="9"/>
        <v>0</v>
      </c>
      <c r="AO31" s="1278">
        <f t="shared" si="9"/>
        <v>0</v>
      </c>
      <c r="AP31" s="1278">
        <f>IF(ISNUMBER(((Datos!L31/Datos!K31)*11)/factor_trimestre),((Datos!L31/Datos!K31)*11)/factor_trimestre," - ")</f>
        <v>5.1484135107471856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-6.6666666666666666E-2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2.5447690857681431E-2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45.443004595500355</v>
      </c>
      <c r="AM33" s="1006"/>
      <c r="AN33" s="1006">
        <f>IF(ISNUMBER(STDEV(AN8:AN30)),STDEV(AN8:AN30),"-")</f>
        <v>0</v>
      </c>
      <c r="AO33" s="1012">
        <f>IF(ISNUMBER(STDEV(AO8:AO30)),STDEV(AO8:AO30),"-")</f>
        <v>0</v>
      </c>
      <c r="AP33" s="1065">
        <f>IF(ISNUMBER(STDEV(AP8:AP30)),STDEV(AP8:AP30),"-")</f>
        <v>16.834034521153672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kbwpnz9Pfxp5LHKA9xfBmSIVQZtR5yTuTbyTulH+tG/DFana2MdyOn5KIZR6SKkgRDjKC4M/hv/6LI/Pekwsg==" saltValue="VdSFSASipaaWWtT68ZLf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NAVALMORAL DE LA MATA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8b9R+3kn8agh7yiH8N/3iNKhvIbT8aQYsGvcjuTEJtGnHzs+Gt/aL7CUWfRKoKouedYCg8i4npzRSnohVTS3w==" saltValue="Gp7oNh67Q7m/FeDmuLb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NAVALMORAL DE LA MATA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88</v>
      </c>
      <c r="E12" s="452">
        <f t="shared" si="0"/>
        <v>29.333333333333332</v>
      </c>
      <c r="F12" s="451">
        <f>IF(ISNUMBER(Datos!N12),Datos!N12," - ")</f>
        <v>114</v>
      </c>
      <c r="G12" s="452">
        <f t="shared" si="1"/>
        <v>38</v>
      </c>
      <c r="H12" s="451">
        <f>IF(ISNUMBER(Datos!O12),Datos!O12," - ")</f>
        <v>133</v>
      </c>
      <c r="I12" s="452">
        <f t="shared" si="2"/>
        <v>44.333333333333336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88</v>
      </c>
      <c r="E14" s="1147">
        <f t="shared" si="0"/>
        <v>22</v>
      </c>
      <c r="F14" s="1146">
        <f>SUBTOTAL(9,F9:F13)</f>
        <v>114</v>
      </c>
      <c r="G14" s="1147">
        <f t="shared" si="1"/>
        <v>28.5</v>
      </c>
      <c r="H14" s="1146">
        <f>SUBTOTAL(9,H9:H13)</f>
        <v>133</v>
      </c>
      <c r="I14" s="1147">
        <f>IF(ISNUMBER(H14/B14),H14/B14," - ")</f>
        <v>33.25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54</v>
      </c>
      <c r="E17" s="452">
        <f t="shared" si="3"/>
        <v>18</v>
      </c>
      <c r="F17" s="451">
        <f>IF(ISNUMBER(Datos!N17),Datos!N17," - ")</f>
        <v>337</v>
      </c>
      <c r="G17" s="452">
        <f t="shared" si="4"/>
        <v>112.33333333333333</v>
      </c>
      <c r="H17" s="451">
        <f>IF(ISNUMBER(Datos!O17),Datos!O17," - ")</f>
        <v>3</v>
      </c>
      <c r="I17" s="452">
        <f t="shared" si="5"/>
        <v>1</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57</v>
      </c>
      <c r="E23" s="1147">
        <f t="shared" si="3"/>
        <v>14.25</v>
      </c>
      <c r="F23" s="1146">
        <f>SUBTOTAL(9,F16:F22)</f>
        <v>372</v>
      </c>
      <c r="G23" s="1147">
        <f t="shared" si="4"/>
        <v>93</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145</v>
      </c>
      <c r="E31" s="1085">
        <f>IF(ISNUMBER(D31/B31),D31/B31," - ")</f>
        <v>48.333333333333336</v>
      </c>
      <c r="F31" s="1084">
        <f>SUBTOTAL(9,F8:F30)</f>
        <v>486</v>
      </c>
      <c r="G31" s="1085">
        <f>IF(ISNUMBER(F31/B31),F31/B31," - ")</f>
        <v>162</v>
      </c>
      <c r="H31" s="1084">
        <f>SUBTOTAL(9,H8:H30)</f>
        <v>136</v>
      </c>
      <c r="I31" s="1085">
        <f>IF(ISNUMBER(H31/B31),H31/B31," - ")</f>
        <v>45.333333333333336</v>
      </c>
    </row>
    <row r="34" spans="1:1">
      <c r="A34" s="439" t="str">
        <f>Criterios!A4</f>
        <v>Fecha Informe: 06 may. 2023</v>
      </c>
    </row>
    <row r="39" spans="1:1">
      <c r="A39" s="462"/>
    </row>
  </sheetData>
  <sheetProtection algorithmName="SHA-512" hashValue="NKq1Z724f8QX2Ry/x5KBlgMSVFsZ9Wp74I4GSuoHMy57pVMNohJfRg7YEFmOaizE2nAYNGdK0Kae4YcqoGloiA==" saltValue="1VnnRz5lbhb4wt3a83Wx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NAVALMORAL DE LA MATA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104</v>
      </c>
      <c r="C12" s="489">
        <f>IF(ISNUMBER(Datos!Q12),Datos!Q12," - ")</f>
        <v>54</v>
      </c>
      <c r="D12" s="456">
        <f>IF(ISNUMBER(Datos!R12),Datos!R12," - ")</f>
        <v>2079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105</v>
      </c>
      <c r="C14" s="1150">
        <f>SUBTOTAL(9,C9:C13)</f>
        <v>54</v>
      </c>
      <c r="D14" s="1148">
        <f>SUBTOTAL(9,D9:D13)</f>
        <v>2104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11</v>
      </c>
      <c r="D17" s="456">
        <f>IF(ISNUMBER(Datos!R17),Datos!R17," - ")</f>
        <v>72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11</v>
      </c>
      <c r="D23" s="1148">
        <f>SUBTOTAL(9,D16:D22)</f>
        <v>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v>
      </c>
      <c r="C31" s="1089">
        <f>SUBTOTAL(9,C8:C30)</f>
        <v>65</v>
      </c>
      <c r="D31" s="1090">
        <f>SUBTOTAL(9,D8:D30)</f>
        <v>2176</v>
      </c>
    </row>
    <row r="32" spans="1:4" ht="7.5" customHeight="1"/>
    <row r="33" spans="1:1" ht="6" customHeight="1"/>
    <row r="34" spans="1:1">
      <c r="A34" s="439" t="str">
        <f>Criterios!A4</f>
        <v>Fecha Informe: 06 may. 2023</v>
      </c>
    </row>
    <row r="39" spans="1:1">
      <c r="A39" s="462"/>
    </row>
  </sheetData>
  <sheetProtection algorithmName="SHA-512" hashValue="yVwPofpMQuJPBxeZcx18BI0TTqZrZFp1BKxFqhGfrqdc7w3/Y0UmrvfkpgXOq7mPf3GWC+PwQU5dB95Qg+j6jg==" saltValue="h4+CjOfpxpW7ZxZze3lk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NAVALMORAL DE LA MATA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-0.25</v>
      </c>
      <c r="D10" s="515">
        <f>IF(ISNUMBER((Datos!K10-Datos!U10)/Datos!U10),(Datos!K10-Datos!U10)/Datos!U10," - ")</f>
        <v>-0.90909090909090906</v>
      </c>
      <c r="E10" s="515">
        <f>IF(ISNUMBER((Datos!L10-Datos!V10)/Datos!V10),(Datos!L10-Datos!V10)/Datos!V10," - ")</f>
        <v>0.17647058823529413</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-0.87878787878787878</v>
      </c>
      <c r="I10" s="515">
        <f>IF(ISNUMBER(((NºAsuntos!I10/NºAsuntos!G10)-Datos!BE10)/Datos!BE10),((NºAsuntos!I10/NºAsuntos!G10)-Datos!BE10)/Datos!BE10," - ")</f>
        <v>11.941176470588236</v>
      </c>
      <c r="J10" s="521">
        <f>IF(ISNUMBER((('Resol  Asuntos'!D10/NºAsuntos!G10)-Datos!BF10)/Datos!BF10),(('Resol  Asuntos'!D10/NºAsuntos!G10)-Datos!BF10)/Datos!BF10," - ")</f>
        <v>-1</v>
      </c>
      <c r="K10" s="522">
        <f>IF(ISNUMBER((((NºAsuntos!C10+NºAsuntos!E10)/NºAsuntos!G10)-Datos!BG10)/Datos!BG10),(((NºAsuntos!C10+NºAsuntos!E10)/NºAsuntos!G10)-Datos!BG10)/Datos!BG10," - ")</f>
        <v>7.25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2.2187004754358162E-2</v>
      </c>
      <c r="C12" s="515">
        <f>IF(ISNUMBER(
   IF(J_V="SI",(Datos!J12-Datos!T12)/Datos!T12,(Datos!J12+Datos!Z12-(Datos!T12+Datos!AH12))/(Datos!T12+Datos!AH12))
     ),IF(J_V="SI",(Datos!J12-Datos!T12)/Datos!T12,(Datos!J12+Datos!Z12-(Datos!T12+Datos!AH12))/(Datos!T12+Datos!AH12))," - ")</f>
        <v>0.4249084249084249</v>
      </c>
      <c r="D12" s="515">
        <f>IF(ISNUMBER(
   IF(J_V="SI",(Datos!K12-Datos!U12)/Datos!U12,(Datos!K12+Datos!AA12-(Datos!U12+Datos!AI12))/(Datos!U12+Datos!AI12))
     ),IF(J_V="SI",(Datos!K12-Datos!U12)/Datos!U12,(Datos!K12+Datos!AA12-(Datos!U12+Datos!AI12))/(Datos!U12+Datos!AI12))," - ")</f>
        <v>0.14429530201342283</v>
      </c>
      <c r="E12" s="515">
        <f>IF(ISNUMBER(
   IF(J_V="SI",(Datos!L12-Datos!V12)/Datos!V12,(Datos!L12+Datos!AB12-(Datos!V12+Datos!AJ12))/(Datos!V12+Datos!AJ12))
     ),IF(J_V="SI",(Datos!L12-Datos!V12)/Datos!V12,(Datos!L12+Datos!AB12-(Datos!V12+Datos!AJ12))/(Datos!V12+Datos!AJ12))," - ")</f>
        <v>6.1062648691514669E-2</v>
      </c>
      <c r="F12" s="515">
        <f>IF(ISNUMBER((Datos!M12-Datos!W12)/Datos!W12),(Datos!M12-Datos!W12)/Datos!W12," - ")</f>
        <v>0.35384615384615387</v>
      </c>
      <c r="G12" s="516">
        <f>IF(ISNUMBER((Datos!N12-Datos!X12)/Datos!X12),(Datos!N12-Datos!X12)/Datos!X12," - ")</f>
        <v>0.42499999999999999</v>
      </c>
      <c r="H12" s="514">
        <f>IF(ISNUMBER(((NºAsuntos!G12/NºAsuntos!E12)-Datos!BD12)/Datos!BD12),((NºAsuntos!G12/NºAsuntos!E12)-Datos!BD12)/Datos!BD12," - ")</f>
        <v>-0.1969341453736132</v>
      </c>
      <c r="I12" s="515">
        <f>IF(ISNUMBER(((NºAsuntos!I12/NºAsuntos!G12)-Datos!BE12)/Datos!BE12),((NºAsuntos!I12/NºAsuntos!G12)-Datos!BE12)/Datos!BE12," - ")</f>
        <v>-7.2737040146418339E-2</v>
      </c>
      <c r="J12" s="521">
        <f>IF(ISNUMBER((('Resol  Asuntos'!D12/NºAsuntos!G12)-Datos!BF12)/Datos!BF12),(('Resol  Asuntos'!D12/NºAsuntos!G12)-Datos!BF12)/Datos!BF12," - ")</f>
        <v>-3.8709677419354868E-2</v>
      </c>
      <c r="K12" s="522">
        <f>IF(ISNUMBER((((NºAsuntos!C12+NºAsuntos!E12)/NºAsuntos!G12)-Datos!BG12)/Datos!BG12),(((NºAsuntos!C12+NºAsuntos!E12)/NºAsuntos!G12)-Datos!BG12)/Datos!BG12," - ")</f>
        <v>-4.4118180862953375E-2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1.7940717628705149E-2</v>
      </c>
      <c r="C14" s="1152">
        <f>IF(ISNUMBER(
   IF(J_V="SI",(Datos!J14-Datos!T14)/Datos!T14,(Datos!J14+Datos!Z14-(Datos!T14+Datos!AH14))/(Datos!T14+Datos!AH14))
     ),IF(J_V="SI",(Datos!J14-Datos!T14)/Datos!T14,(Datos!J14+Datos!Z14-(Datos!T14+Datos!AH14))/(Datos!T14+Datos!AH14))," - ")</f>
        <v>0.40569395017793597</v>
      </c>
      <c r="D14" s="1152">
        <f>IF(ISNUMBER(
   IF(J_V="SI",(Datos!K14-Datos!U14)/Datos!U14,(Datos!K14+Datos!AA14-(Datos!U14+Datos!AI14))/(Datos!U14+Datos!AI14))
     ),IF(J_V="SI",(Datos!K14-Datos!U14)/Datos!U14,(Datos!K14+Datos!AA14-(Datos!U14+Datos!AI14))/(Datos!U14+Datos!AI14))," - ")</f>
        <v>0.10679611650485436</v>
      </c>
      <c r="E14" s="1152">
        <f>IF(ISNUMBER(
   IF(J_V="SI",(Datos!L14-Datos!V14)/Datos!V14,(Datos!L14+Datos!AB14-(Datos!V14+Datos!AJ14))/(Datos!V14+Datos!AJ14))
     ),IF(J_V="SI",(Datos!L14-Datos!V14)/Datos!V14,(Datos!L14+Datos!AB14-(Datos!V14+Datos!AJ14))/(Datos!V14+Datos!AJ14))," - ")</f>
        <v>6.2597809076682318E-2</v>
      </c>
      <c r="F14" s="1153">
        <f>IF(ISNUMBER((Datos!M14-Datos!W14)/Datos!W14),(Datos!M14-Datos!W14)/Datos!W14," - ")</f>
        <v>0.25714285714285712</v>
      </c>
      <c r="G14" s="1154">
        <f>IF(ISNUMBER((Datos!N14-Datos!X14)/Datos!X14),(Datos!N14-Datos!X14)/Datos!X14," - ")</f>
        <v>0.35714285714285715</v>
      </c>
      <c r="H14" s="1154">
        <f>IF(ISNUMBER(((NºAsuntos!G14/NºAsuntos!E14)-Datos!BD14)/Datos!BD14),((NºAsuntos!G14/NºAsuntos!E14)-Datos!BD14)/Datos!BD14," - ")</f>
        <v>-0.21263364876490104</v>
      </c>
      <c r="I14" s="1154">
        <f>IF(ISNUMBER(((NºAsuntos!I14/NºAsuntos!G14)-Datos!BE14)/Datos!BE14),((NºAsuntos!I14/NºAsuntos!G14)-Datos!BE14)/Datos!BE14," - ")</f>
        <v>-3.9933558465804549E-2</v>
      </c>
      <c r="J14" s="1154">
        <f>IF(ISNUMBER((('Resol  Asuntos'!D14/NºAsuntos!G14)-Datos!BF14)/Datos!BF14),(('Resol  Asuntos'!D14/NºAsuntos!G14)-Datos!BF14)/Datos!BF14," - ")</f>
        <v>-6.4602683178534653E-2</v>
      </c>
      <c r="K14" s="1154">
        <f>IF(ISNUMBER((((NºAsuntos!C14+NºAsuntos!E14)/NºAsuntos!G14)-Datos!BG14)/Datos!BG14),(((NºAsuntos!C14+NºAsuntos!E14)/NºAsuntos!G14)-Datos!BG14)/Datos!BG14," - ")</f>
        <v>-1.7296921125590673E-2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0.26049382716049385</v>
      </c>
      <c r="C17" s="515">
        <f>IF(ISNUMBER(
   IF(D_I="SI",(Datos!J17-Datos!T17)/Datos!T17,(Datos!J17+Datos!AD17-(Datos!T17+Datos!AL17))/(Datos!T17+Datos!AL17))
     ),IF(D_I="SI",(Datos!J17-Datos!T17)/Datos!T17,(Datos!J17+Datos!AD17-(Datos!T17+Datos!AL17))/(Datos!T17+Datos!AL17))," - ")</f>
        <v>0.75388601036269431</v>
      </c>
      <c r="D17" s="515">
        <f>IF(ISNUMBER(
   IF(D_I="SI",(Datos!K17-Datos!U17)/Datos!U17,(Datos!K17+Datos!AE17-(Datos!U17+Datos!AM17))/(Datos!U17+Datos!AM17))
     ),IF(D_I="SI",(Datos!K17-Datos!U17)/Datos!U17,(Datos!K17+Datos!AE17-(Datos!U17+Datos!AM17))/(Datos!U17+Datos!AM17))," - ")</f>
        <v>0.49748743718592964</v>
      </c>
      <c r="E17" s="515">
        <f>IF(ISNUMBER(
   IF(D_I="SI",(Datos!L17-Datos!V17)/Datos!V17,(Datos!L17+Datos!AF17-(Datos!V17+Datos!AN17))/(Datos!V17+Datos!AN17))
     ),IF(D_I="SI",(Datos!L17-Datos!V17)/Datos!V17,(Datos!L17+Datos!AF17-(Datos!V17+Datos!AN17))/(Datos!V17+Datos!AN17))," - ")</f>
        <v>0.28284023668639052</v>
      </c>
      <c r="F17" s="515">
        <f>IF(ISNUMBER((Datos!M17-Datos!W17)/Datos!W17),(Datos!M17-Datos!W17)/Datos!W17," - ")</f>
        <v>3.8461538461538464E-2</v>
      </c>
      <c r="G17" s="516">
        <f>IF(ISNUMBER((Datos!N17-Datos!X17)/Datos!X17),(Datos!N17-Datos!X17)/Datos!X17," - ")</f>
        <v>0.4219409282700422</v>
      </c>
      <c r="H17" s="514">
        <f>IF(ISNUMBER(((NºAsuntos!G17/NºAsuntos!E17)-Datos!BD17)/Datos!BD17),((NºAsuntos!G17/NºAsuntos!E17)-Datos!BD17)/Datos!BD17," - ")</f>
        <v>-0.14618884674480243</v>
      </c>
      <c r="I17" s="515">
        <f>IF(ISNUMBER(((NºAsuntos!I17/NºAsuntos!G17)-Datos!BE17)/Datos!BE17),((NºAsuntos!I17/NºAsuntos!G17)-Datos!BE17)/Datos!BE17," - ")</f>
        <v>-0.14333823120606812</v>
      </c>
      <c r="J17" s="521">
        <f>IF(ISNUMBER((('Resol  Asuntos'!D17/NºAsuntos!G17)-Datos!BF17)/Datos!BF17),(('Resol  Asuntos'!D17/NºAsuntos!G17)-Datos!BF17)/Datos!BF17," - ")</f>
        <v>-0.3065307176045432</v>
      </c>
      <c r="K17" s="522">
        <f>IF(ISNUMBER((((NºAsuntos!C17+NºAsuntos!E17)/NºAsuntos!G17)-Datos!BG17)/Datos!BG17),(((NºAsuntos!C17+NºAsuntos!E17)/NºAsuntos!G17)-Datos!BG17)/Datos!BG17," - ")</f>
        <v>-5.1923638077708688E-2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-0.24427480916030533</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-0.189873417721519</v>
      </c>
      <c r="E18" s="515">
        <f>IF(ISNUMBER(
   IF(D_I="SI",(Datos!L18-Datos!V18)/Datos!V18,(Datos!L18+Datos!AF18-(Datos!V18+Datos!AN18))/(Datos!V18+Datos!AN18))
     ),IF(D_I="SI",(Datos!L18-Datos!V18)/Datos!V18,(Datos!L18+Datos!AF18-(Datos!V18+Datos!AN18))/(Datos!V18+Datos!AN18))," - ")</f>
        <v>5.6603773584905662E-2</v>
      </c>
      <c r="F18" s="515">
        <f>IF(ISNUMBER((Datos!M18-Datos!W18)/Datos!W18),(Datos!M18-Datos!W18)/Datos!W18," - ")</f>
        <v>0</v>
      </c>
      <c r="G18" s="516">
        <f>IF(ISNUMBER((Datos!N18-Datos!X18)/Datos!X18),(Datos!N18-Datos!X18)/Datos!X18," - ")</f>
        <v>0.52173913043478259</v>
      </c>
      <c r="H18" s="514">
        <f>IF(ISNUMBER(((NºAsuntos!G18/NºAsuntos!E18)-Datos!BD18)/Datos!BD18),((NºAsuntos!G18/NºAsuntos!E18)-Datos!BD18)/Datos!BD18," - ")</f>
        <v>-7.4141048824593048E-2</v>
      </c>
      <c r="I18" s="515">
        <f>IF(ISNUMBER(((NºAsuntos!I18/NºAsuntos!G18)-Datos!BE18)/Datos!BE18),((NºAsuntos!I18/NºAsuntos!G18)-Datos!BE18)/Datos!BE18," - ")</f>
        <v>0.30424528301886788</v>
      </c>
      <c r="J18" s="521">
        <f>IF(ISNUMBER((('Resol  Asuntos'!D18/NºAsuntos!G18)-Datos!BF18)/Datos!BF18),(('Resol  Asuntos'!D18/NºAsuntos!G18)-Datos!BF18)/Datos!BF18," - ")</f>
        <v>0.23437499999999997</v>
      </c>
      <c r="K18" s="522">
        <f>IF(ISNUMBER((((NºAsuntos!C18+NºAsuntos!E18)/NºAsuntos!G18)-Datos!BG18)/Datos!BG18),(((NºAsuntos!C18+NºAsuntos!E18)/NºAsuntos!G18)-Datos!BG18)/Datos!BG18," - ")</f>
        <v>-7.9908675799087187E-3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0.19022316684378321</v>
      </c>
      <c r="C23" s="1152">
        <f>IF(ISNUMBER(
   IF(Criterios!B14="SI",(Datos!J23-Datos!T23)/Datos!T23,(Datos!J23+Datos!AD23-(Datos!T23+Datos!AL23))/(Datos!T23+Datos!AL23))
     ),IF(Criterios!B14="SI",(Datos!J23-Datos!T23)/Datos!T23,(Datos!J23+Datos!AD23-(Datos!T23+Datos!AL23))/(Datos!T23+Datos!AL23))," - ")</f>
        <v>0.59071729957805907</v>
      </c>
      <c r="D23" s="1152">
        <f>IF(ISNUMBER(
   IF(Criterios!B14="SI",(Datos!K23-Datos!U23)/Datos!U23,(Datos!K23+Datos!AE23-(Datos!U23+Datos!AM23))/(Datos!U23+Datos!AM23))
     ),IF(Criterios!B14="SI",(Datos!K23-Datos!U23)/Datos!U23,(Datos!K23+Datos!AE23-(Datos!U23+Datos!AM23))/(Datos!U23+Datos!AM23))," - ")</f>
        <v>0.38364779874213839</v>
      </c>
      <c r="E23" s="1152">
        <f>IF(ISNUMBER(
   IF(Criterios!B14="SI",(Datos!L23-Datos!V23)/Datos!V23,(Datos!L23+Datos!AF23-(Datos!V23+Datos!AN23))/(Datos!V23+Datos!AN23))
     ),IF(Criterios!B14="SI",(Datos!L23-Datos!V23)/Datos!V23,(Datos!L23+Datos!AF23-(Datos!V23+Datos!AN23))/(Datos!V23+Datos!AN23))," - ")</f>
        <v>0.25762355415352262</v>
      </c>
      <c r="F23" s="1153">
        <f>IF(ISNUMBER((Datos!M23-Datos!W23)/Datos!W23),(Datos!M23-Datos!W23)/Datos!W23," - ")</f>
        <v>3.6363636363636362E-2</v>
      </c>
      <c r="G23" s="1154">
        <f>IF(ISNUMBER((Datos!N23-Datos!X23)/Datos!X23),(Datos!N23-Datos!X23)/Datos!X23," - ")</f>
        <v>0.43076923076923079</v>
      </c>
      <c r="H23" s="1154">
        <f>IF(ISNUMBER(((NºAsuntos!G23/NºAsuntos!E23)-Datos!BD23)/Datos!BD23),((NºAsuntos!G23/NºAsuntos!E23)-Datos!BD23)/Datos!BD23," - ")</f>
        <v>-0.13017366498173272</v>
      </c>
      <c r="I23" s="1154">
        <f>IF(ISNUMBER(((NºAsuntos!I23/NºAsuntos!G23)-Datos!BE23)/Datos!BE23),((NºAsuntos!I23/NºAsuntos!G23)-Datos!BE23)/Datos!BE23," - ")</f>
        <v>-9.1081158589045072E-2</v>
      </c>
      <c r="J23" s="1154">
        <f>IF(ISNUMBER((('Resol  Asuntos'!D23/NºAsuntos!G23)-Datos!BF23)/Datos!BF23),(('Resol  Asuntos'!D23/NºAsuntos!G23)-Datos!BF23)/Datos!BF23," - ")</f>
        <v>-0.25099173553719006</v>
      </c>
      <c r="K23" s="1154">
        <f>IF(ISNUMBER((((NºAsuntos!C23+NºAsuntos!E23)/NºAsuntos!G23)-Datos!BG23)/Datos!BG23),(((NºAsuntos!C23+NºAsuntos!E23)/NºAsuntos!G23)-Datos!BG23)/Datos!BG23," - ")</f>
        <v>-4.2833279794410505E-2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9.0868196131354023E-2</v>
      </c>
      <c r="C31" s="1092">
        <f>IF(ISNUMBER(
   IF(J_V="SI",(Datos!J31-Datos!T31)/Datos!T31,(Datos!J31+Datos!Z31-(Datos!T31+Datos!AH31))/(Datos!T31+Datos!AH31))
     ),IF(J_V="SI",(Datos!J31-Datos!T31)/Datos!T31,(Datos!J31+Datos!Z31-(Datos!T31+Datos!AH31))/(Datos!T31+Datos!AH31))," - ")</f>
        <v>0.52185430463576155</v>
      </c>
      <c r="D31" s="1092">
        <f>IF(ISNUMBER(
   IF(J_V="SI",(Datos!K31-Datos!U31)/Datos!U31,(Datos!K31+Datos!AA31-(Datos!U31+Datos!AI31))/(Datos!U31+Datos!AI31))
     ),IF(J_V="SI",(Datos!K31-Datos!U31)/Datos!U31,(Datos!K31+Datos!AA31-(Datos!U31+Datos!AI31))/(Datos!U31+Datos!AI31))," - ")</f>
        <v>0.27480916030534353</v>
      </c>
      <c r="E31" s="1092">
        <f>IF(ISNUMBER(
   IF(J_V="SI",(Datos!L31-Datos!V31)/Datos!V31,(Datos!L31+Datos!AB31-(Datos!V31+Datos!AJ31))/(Datos!V31+Datos!AJ31))
     ),IF(J_V="SI",(Datos!L31-Datos!V31)/Datos!V31,(Datos!L31+Datos!AB31-(Datos!V31+Datos!AJ31))/(Datos!V31+Datos!AJ31))," - ")</f>
        <v>0.14580529385374608</v>
      </c>
      <c r="F31" s="1093">
        <f>IF(ISNUMBER((Datos!M31-Datos!W31)/Datos!W31),(Datos!M31-Datos!W31)/Datos!W31," - ")</f>
        <v>0.16</v>
      </c>
      <c r="G31" s="1094">
        <f>IF(ISNUMBER((Datos!N31-Datos!X31)/Datos!X31),(Datos!N31-Datos!X31)/Datos!X31," - ")</f>
        <v>0.41279069767441862</v>
      </c>
      <c r="H31" s="1095">
        <f>IF(ISNUMBER((Tasas!B31-Datos!BD31)/Datos!BD31),(Tasas!B31-Datos!BD31)/Datos!BD31," - ")</f>
        <v>-0.16233166576976993</v>
      </c>
      <c r="I31" s="1096">
        <f>IF(ISNUMBER((Tasas!C31-Datos!BE31)/Datos!BE31),(Tasas!C31-Datos!BE31)/Datos!BE31," - ")</f>
        <v>-0.10119464973149261</v>
      </c>
      <c r="J31" s="1097">
        <f>IF(ISNUMBER((Tasas!D31-Datos!BF31)/Datos!BF31),(Tasas!D31-Datos!BF31)/Datos!BF31," - ")</f>
        <v>-0.18755346449957236</v>
      </c>
      <c r="K31" s="1097">
        <f>IF(ISNUMBER((Tasas!E31-Datos!BG31)/Datos!BG31),(Tasas!E31-Datos!BG31)/Datos!BG31," - ")</f>
        <v>-5.8577271246627004E-2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yyR2ov8q7nkq7DpenyZuBg2N3967y5Fq75hkxd4wcIu3QB0Hs244NClb6iAg5SwqUWLLoxTH13GL9/VOCTmQg==" saltValue="fRBROb2gL51LAk5/nCRa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NAVALMORAL DE LA MATA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0.16666666666666666</v>
      </c>
      <c r="C10" s="498">
        <f>IF(ISNUMBER(NºAsuntos!I10/NºAsuntos!G10),NºAsuntos!I10/NºAsuntos!G10," - ")</f>
        <v>20</v>
      </c>
      <c r="D10" s="499">
        <f>IF(ISNUMBER('Resol  Asuntos'!D10/NºAsuntos!G10),'Resol  Asuntos'!D10/NºAsuntos!G10," - ")</f>
        <v>0</v>
      </c>
      <c r="E10" s="500">
        <f>IF(ISNUMBER((NºAsuntos!C10+NºAsuntos!E10)/NºAsuntos!G10),(NºAsuntos!C10+NºAsuntos!E10)/NºAsuntos!G10," - ")</f>
        <v>21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0.87660668380462725</v>
      </c>
      <c r="C12" s="498">
        <f>IF(ISNUMBER(NºAsuntos!I12/NºAsuntos!G12),NºAsuntos!I12/NºAsuntos!G12," - ")</f>
        <v>3.9237536656891496</v>
      </c>
      <c r="D12" s="499">
        <f>IF(ISNUMBER('Resol  Asuntos'!D12/NºAsuntos!G12),'Resol  Asuntos'!D12/NºAsuntos!G12," - ")</f>
        <v>0.25806451612903225</v>
      </c>
      <c r="E12" s="500">
        <f>IF(ISNUMBER((NºAsuntos!C12+NºAsuntos!E12)/NºAsuntos!G12),(NºAsuntos!C12+NºAsuntos!E12)/NºAsuntos!G12," - ")</f>
        <v>4.9237536656891496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0.86582278481012653</v>
      </c>
      <c r="C14" s="1156">
        <f>IF(ISNUMBER(NºAsuntos!I14/NºAsuntos!G14),NºAsuntos!I14/NºAsuntos!G14," - ")</f>
        <v>3.9707602339181287</v>
      </c>
      <c r="D14" s="1157">
        <f>IF(ISNUMBER('Resol  Asuntos'!D14/NºAsuntos!G14),'Resol  Asuntos'!D14/NºAsuntos!G14," - ")</f>
        <v>0.25730994152046782</v>
      </c>
      <c r="E14" s="1158">
        <f>IF(ISNUMBER((NºAsuntos!C14+NºAsuntos!E14)/NºAsuntos!G14),(NºAsuntos!C14+NºAsuntos!E14)/NºAsuntos!G14," - ")</f>
        <v>4.9707602339181287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0.88035450516986702</v>
      </c>
      <c r="C17" s="498">
        <f>IF(ISNUMBER(NºAsuntos!I17/NºAsuntos!G17),NºAsuntos!I17/NºAsuntos!G17," - ")</f>
        <v>1.8187919463087248</v>
      </c>
      <c r="D17" s="499">
        <f>IF(ISNUMBER('Resol  Asuntos'!D17/NºAsuntos!G17),'Resol  Asuntos'!D17/NºAsuntos!G17," - ")</f>
        <v>9.0604026845637578E-2</v>
      </c>
      <c r="E17" s="500">
        <f>IF(ISNUMBER((NºAsuntos!C17+NºAsuntos!E17)/NºAsuntos!G17),(NºAsuntos!C17+NºAsuntos!E17)/NºAsuntos!G17," - ")</f>
        <v>2.848993288590604</v>
      </c>
      <c r="G17" s="523"/>
    </row>
    <row r="18" spans="1:7">
      <c r="A18" s="450" t="str">
        <f>Datos!A18</f>
        <v>Jdos. Violencia contra la mujer</v>
      </c>
      <c r="B18" s="497">
        <f>IF(ISNUMBER(NºAsuntos!G18/NºAsuntos!E18),NºAsuntos!G18/NºAsuntos!E18," - ")</f>
        <v>0.83116883116883122</v>
      </c>
      <c r="C18" s="498">
        <f>IF(ISNUMBER(NºAsuntos!I18/NºAsuntos!G18),NºAsuntos!I18/NºAsuntos!G18," - ")</f>
        <v>1.75</v>
      </c>
      <c r="D18" s="499">
        <f>IF(ISNUMBER('Resol  Asuntos'!D18/NºAsuntos!G18),'Resol  Asuntos'!D18/NºAsuntos!G18," - ")</f>
        <v>4.6875E-2</v>
      </c>
      <c r="E18" s="500">
        <f>IF(ISNUMBER((NºAsuntos!C18+NºAsuntos!E18)/NºAsuntos!G18),(NºAsuntos!C18+NºAsuntos!E18)/NºAsuntos!G18," - ")</f>
        <v>2.75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0.87533156498673736</v>
      </c>
      <c r="C23" s="1156">
        <f>IF(ISNUMBER(NºAsuntos!I23/NºAsuntos!G23),NºAsuntos!I23/NºAsuntos!G23," - ")</f>
        <v>1.812121212121212</v>
      </c>
      <c r="D23" s="1159">
        <f>IF(ISNUMBER('Resol  Asuntos'!D23/NºAsuntos!G23),'Resol  Asuntos'!D23/NºAsuntos!G23," - ")</f>
        <v>8.6363636363636365E-2</v>
      </c>
      <c r="E23" s="1158">
        <f>IF(ISNUMBER((NºAsuntos!C23+NºAsuntos!E23)/NºAsuntos!G23),(NºAsuntos!C23+NºAsuntos!E23)/NºAsuntos!G23," - ")</f>
        <v>2.8393939393939394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0.87206266318537862</v>
      </c>
      <c r="C31" s="1099">
        <f>IF(ISNUMBER(NºAsuntos!I31/NºAsuntos!G31),NºAsuntos!I31/NºAsuntos!G31," - ")</f>
        <v>2.5489021956087825</v>
      </c>
      <c r="D31" s="1100">
        <f>IF(ISNUMBER('Resol  Asuntos'!D31/NºAsuntos!G31),'Resol  Asuntos'!D31/NºAsuntos!G31," - ")</f>
        <v>0.14471057884231536</v>
      </c>
      <c r="E31" s="1101">
        <f>IF(ISNUMBER((NºAsuntos!C31+NºAsuntos!E31)/NºAsuntos!G31),(NºAsuntos!C31+NºAsuntos!E31)/NºAsuntos!G31," - ")</f>
        <v>3.5668662674650697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anenJ354UuVa1/+r7T+S4ncCMjUMRGHuTWnlE2IvFUp/n8+pYCOdisxGTYbyMEHk9TcctKXOSTQzQmx2vlSmw==" saltValue="MCFRqEN4htfweZ8v/tVx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NAVALMORAL DE LA MATA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20</v>
      </c>
      <c r="AB10" s="374">
        <f>IF(ISNUMBER(Datos!R10),Datos!R10," - ")</f>
        <v>25</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0.16666666666666666</v>
      </c>
      <c r="AM10" s="284">
        <f>IF(ISNUMBER(((NºAsuntos!I10/NºAsuntos!G10)*11)/factor_trimestre),((NºAsuntos!I10/NºAsuntos!G10)*11)/factor_trimestre," - ")</f>
        <v>40</v>
      </c>
      <c r="AN10" s="267">
        <f>IF(ISNUMBER('Resol  Asuntos'!D10/NºAsuntos!G10),'Resol  Asuntos'!D10/NºAsuntos!G10," - ")</f>
        <v>0</v>
      </c>
      <c r="AO10" s="268">
        <f>IF(ISNUMBER((NºAsuntos!C10+NºAsuntos!E10)/NºAsuntos!G10),(NºAsuntos!C10+NºAsuntos!E10)/NºAsuntos!G10," - ")</f>
        <v>21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v>
      </c>
      <c r="Y12" s="374">
        <f t="shared" si="0"/>
        <v>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0.87660668380462725</v>
      </c>
      <c r="AM12" s="284">
        <f>IF(ISNUMBER(((NºAsuntos!I12/NºAsuntos!G12)*11)/factor_trimestre),((NºAsuntos!I12/NºAsuntos!G12)*11)/factor_trimestre," - ")</f>
        <v>7.8475073313782993</v>
      </c>
      <c r="AN12" s="267">
        <f>IF(ISNUMBER('Resol  Asuntos'!D12/NºAsuntos!G12),'Resol  Asuntos'!D12/NºAsuntos!G12," - ")</f>
        <v>0.25806451612903225</v>
      </c>
      <c r="AO12" s="268">
        <f>IF(ISNUMBER((NºAsuntos!C12+NºAsuntos!E12)/NºAsuntos!G12),(NºAsuntos!C12+NºAsuntos!E12)/NºAsuntos!G12," - ")</f>
        <v>4.9237536656891496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15</v>
      </c>
      <c r="G14" s="1163">
        <f t="shared" si="5"/>
        <v>15</v>
      </c>
      <c r="H14" s="1162">
        <f t="shared" si="5"/>
        <v>0</v>
      </c>
      <c r="I14" s="1164">
        <f t="shared" si="5"/>
        <v>0</v>
      </c>
      <c r="J14" s="1164">
        <f t="shared" si="5"/>
        <v>0</v>
      </c>
      <c r="K14" s="1164">
        <f t="shared" si="5"/>
        <v>0</v>
      </c>
      <c r="L14" s="1164">
        <f t="shared" si="5"/>
        <v>105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54</v>
      </c>
      <c r="Y14" s="1165">
        <f t="shared" si="6"/>
        <v>55</v>
      </c>
      <c r="Z14" s="1165">
        <f t="shared" si="6"/>
        <v>0</v>
      </c>
      <c r="AA14" s="1165">
        <f t="shared" si="6"/>
        <v>20</v>
      </c>
      <c r="AB14" s="1165">
        <f t="shared" si="6"/>
        <v>2104</v>
      </c>
      <c r="AC14" s="1165">
        <f t="shared" si="6"/>
        <v>45</v>
      </c>
      <c r="AD14" s="1165">
        <f t="shared" si="6"/>
        <v>0</v>
      </c>
      <c r="AE14" s="1169">
        <f t="shared" si="6"/>
        <v>0</v>
      </c>
      <c r="AF14" s="1162">
        <f t="shared" si="6"/>
        <v>0</v>
      </c>
      <c r="AG14" s="1170">
        <f t="shared" si="6"/>
        <v>0</v>
      </c>
      <c r="AH14" s="1167">
        <f t="shared" si="6"/>
        <v>0</v>
      </c>
      <c r="AI14" s="1162">
        <f t="shared" si="6"/>
        <v>88</v>
      </c>
      <c r="AJ14" s="1164">
        <f t="shared" si="6"/>
        <v>0</v>
      </c>
      <c r="AK14" s="1167">
        <f>SUBTOTAL(9,AK9:AK13)</f>
        <v>0</v>
      </c>
      <c r="AL14" s="1171">
        <f>IF(ISNUMBER(NºAsuntos!G14/NºAsuntos!E14),NºAsuntos!G14/NºAsuntos!E14," - ")</f>
        <v>0.86582278481012653</v>
      </c>
      <c r="AM14" s="1171">
        <f>IF(ISNUMBER(((NºAsuntos!I14/NºAsuntos!G14)*11)/factor_trimestre),((NºAsuntos!I14/NºAsuntos!G14)*11)/factor_trimestre," - ")</f>
        <v>7.9415204678362565</v>
      </c>
      <c r="AN14" s="1172">
        <f>IF(ISNUMBER('Resol  Asuntos'!D14/NºAsuntos!G14),'Resol  Asuntos'!D14/NºAsuntos!G14," - ")</f>
        <v>0.25730994152046782</v>
      </c>
      <c r="AO14" s="1173">
        <f>IF(ISNUMBER((NºAsuntos!C14+NºAsuntos!E14)/NºAsuntos!G14),(NºAsuntos!C14+NºAsuntos!E14)/NºAsuntos!G14," - ")</f>
        <v>4.9707602339181287</v>
      </c>
      <c r="AP14" s="1174" t="str">
        <f t="shared" si="2"/>
        <v xml:space="preserve"> - </v>
      </c>
      <c r="AQ14" s="1174">
        <f>IF(ISNUMBER((H14-W14+K14)/(F14)),(H14-W14+K14)/(F14)," - ")</f>
        <v>-6.6666666666666666E-2</v>
      </c>
      <c r="AR14" s="1175">
        <f>IF(ISNUMBER((Datos!P14-Datos!Q14)/(Datos!R14-Datos!P14+Datos!Q14)),(Datos!P14-Datos!Q14)/(Datos!R14-Datos!P14+Datos!Q14)," - ")</f>
        <v>2.484169508037019E-2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1003</v>
      </c>
      <c r="G17" s="373">
        <f>IF(ISNUMBER(IF(D_I="SI",Datos!I17,Datos!I17+Datos!AC17)),IF(D_I="SI",Datos!I17,Datos!I17+Datos!AC17)," - ")</f>
        <v>1021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596</v>
      </c>
      <c r="X17" s="240">
        <f>IF(ISNUMBER(Datos!Q17),Datos!Q17," - ")</f>
        <v>11</v>
      </c>
      <c r="Y17" s="374">
        <f t="shared" ref="Y17:Y22" si="9">SUM(W17:X17)</f>
        <v>607</v>
      </c>
      <c r="Z17" s="375" t="str">
        <f>IF(ISNUMBER(Datos!CC17),Datos!CC17," - ")</f>
        <v xml:space="preserve"> - </v>
      </c>
      <c r="AA17" s="372">
        <f>IF(ISNUMBER(IF(D_I="SI",Datos!L17,Datos!L17+Datos!AF17)),IF(D_I="SI",Datos!L17,Datos!L17+Datos!AF17)," - ")</f>
        <v>1084</v>
      </c>
      <c r="AB17" s="374">
        <f>IF(ISNUMBER(Datos!R17),Datos!R17," - ")</f>
        <v>72</v>
      </c>
      <c r="AC17" s="374">
        <f t="shared" si="8"/>
        <v>1156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0.88035450516986702</v>
      </c>
      <c r="AM17" s="284">
        <f>IF(ISNUMBER(((NºAsuntos!I17/NºAsuntos!G17)*11)/factor_trimestre),((NºAsuntos!I17/NºAsuntos!G17)*11)/factor_trimestre," - ")</f>
        <v>3.6375838926174495</v>
      </c>
      <c r="AN17" s="267">
        <f>IF(ISNUMBER('Resol  Asuntos'!D17/NºAsuntos!G17),'Resol  Asuntos'!D17/NºAsuntos!G17," - ")</f>
        <v>9.0604026845637578E-2</v>
      </c>
      <c r="AO17" s="268">
        <f>IF(ISNUMBER((NºAsuntos!C17+NºAsuntos!E17)/NºAsuntos!G17),(NºAsuntos!C17+NºAsuntos!E17)/NºAsuntos!G17," - ")</f>
        <v>2.848993288590604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64</v>
      </c>
      <c r="X18" s="240">
        <f>IF(ISNUMBER(Datos!Q18),Datos!Q18," - ")</f>
        <v>0</v>
      </c>
      <c r="Y18" s="374">
        <f t="shared" si="9"/>
        <v>64</v>
      </c>
      <c r="Z18" s="375" t="str">
        <f>IF(ISNUMBER(Datos!CC18),Datos!CC18," - ")</f>
        <v xml:space="preserve"> - </v>
      </c>
      <c r="AA18" s="372">
        <f>IF(ISNUMBER(Datos!L18),Datos!L18,"-")</f>
        <v>112</v>
      </c>
      <c r="AB18" s="374">
        <f>IF(ISNUMBER(Datos!R18),Datos!R18," - ")</f>
        <v>0</v>
      </c>
      <c r="AC18" s="374">
        <f t="shared" si="8"/>
        <v>112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0.83116883116883122</v>
      </c>
      <c r="AM18" s="284">
        <f>IF(ISNUMBER(((NºAsuntos!I18/NºAsuntos!G18)*11)/factor_trimestre),((NºAsuntos!I18/NºAsuntos!G18)*11)/factor_trimestre," - ")</f>
        <v>3.5</v>
      </c>
      <c r="AN18" s="267">
        <f>IF(ISNUMBER('Resol  Asuntos'!D18/NºAsuntos!G18),'Resol  Asuntos'!D18/NºAsuntos!G18," - ")</f>
        <v>4.6875E-2</v>
      </c>
      <c r="AO18" s="268">
        <f>IF(ISNUMBER((NºAsuntos!C18+NºAsuntos!E18)/NºAsuntos!G18),(NºAsuntos!C18+NºAsuntos!E18)/NºAsuntos!G18," - ")</f>
        <v>2.75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1003</v>
      </c>
      <c r="G23" s="1163">
        <f>SUBTOTAL(9,G16:G22)</f>
        <v>1120</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660</v>
      </c>
      <c r="X23" s="1164">
        <f t="shared" si="14"/>
        <v>11</v>
      </c>
      <c r="Y23" s="1165">
        <f t="shared" si="14"/>
        <v>671</v>
      </c>
      <c r="Z23" s="1165">
        <f t="shared" si="14"/>
        <v>0</v>
      </c>
      <c r="AA23" s="1165">
        <f t="shared" si="14"/>
        <v>1196</v>
      </c>
      <c r="AB23" s="1165">
        <f t="shared" si="14"/>
        <v>72</v>
      </c>
      <c r="AC23" s="1165">
        <f t="shared" si="14"/>
        <v>1268</v>
      </c>
      <c r="AD23" s="1165">
        <f t="shared" si="14"/>
        <v>0</v>
      </c>
      <c r="AE23" s="1169">
        <f t="shared" si="14"/>
        <v>0</v>
      </c>
      <c r="AF23" s="1162">
        <f t="shared" si="14"/>
        <v>0</v>
      </c>
      <c r="AG23" s="1170">
        <f t="shared" si="14"/>
        <v>0</v>
      </c>
      <c r="AH23" s="1167">
        <f t="shared" si="14"/>
        <v>0</v>
      </c>
      <c r="AI23" s="1162">
        <f t="shared" si="14"/>
        <v>57</v>
      </c>
      <c r="AJ23" s="1164">
        <f t="shared" si="14"/>
        <v>0</v>
      </c>
      <c r="AK23" s="1167">
        <f t="shared" si="14"/>
        <v>0</v>
      </c>
      <c r="AL23" s="1171">
        <f>IF(ISNUMBER(NºAsuntos!G23/NºAsuntos!E23),NºAsuntos!G23/NºAsuntos!E23," - ")</f>
        <v>0.87533156498673736</v>
      </c>
      <c r="AM23" s="1171">
        <f>IF(ISNUMBER(((NºAsuntos!I23/NºAsuntos!G23)*11)/factor_trimestre),((NºAsuntos!I23/NºAsuntos!G23)*11)/factor_trimestre," - ")</f>
        <v>3.6242424242424245</v>
      </c>
      <c r="AN23" s="1172">
        <f>IF(ISNUMBER('Resol  Asuntos'!D23/NºAsuntos!G23),'Resol  Asuntos'!D23/NºAsuntos!G23," - ")</f>
        <v>8.6363636363636365E-2</v>
      </c>
      <c r="AO23" s="1173">
        <f>IF(ISNUMBER((NºAsuntos!C23+NºAsuntos!E23)/NºAsuntos!G23),(NºAsuntos!C23+NºAsuntos!E23)/NºAsuntos!G23," - ")</f>
        <v>2.8393939393939394</v>
      </c>
      <c r="AP23" s="1174" t="str">
        <f t="shared" si="2"/>
        <v xml:space="preserve"> - </v>
      </c>
      <c r="AQ23" s="1174">
        <f>IF(ISNUMBER((H23-W23+K23)/(F23)),(H23-W23+K23)/(F23)," - ")</f>
        <v>-0.65802592223330014</v>
      </c>
      <c r="AR23" s="1175">
        <f>IF(ISNUMBER((Datos!P23-Datos!Q23)/(Datos!R23-Datos!P23+Datos!Q23)),(Datos!P23-Datos!Q23)/(Datos!R23-Datos!P23+Datos!Q23)," - ")</f>
        <v>4.3478260869565216E-2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1018</v>
      </c>
      <c r="G31" s="1118">
        <f t="shared" si="20"/>
        <v>1135</v>
      </c>
      <c r="H31" s="1117">
        <f t="shared" si="20"/>
        <v>0</v>
      </c>
      <c r="I31" s="1119">
        <f t="shared" si="20"/>
        <v>0</v>
      </c>
      <c r="J31" s="1119">
        <f t="shared" si="20"/>
        <v>0</v>
      </c>
      <c r="K31" s="1180">
        <f t="shared" si="20"/>
        <v>0</v>
      </c>
      <c r="L31" s="1119">
        <f t="shared" si="20"/>
        <v>119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661</v>
      </c>
      <c r="X31" s="1118">
        <f t="shared" si="21"/>
        <v>65</v>
      </c>
      <c r="Y31" s="1125">
        <f t="shared" si="21"/>
        <v>726</v>
      </c>
      <c r="Z31" s="1125">
        <f t="shared" si="21"/>
        <v>0</v>
      </c>
      <c r="AA31" s="1125">
        <f t="shared" si="21"/>
        <v>1216</v>
      </c>
      <c r="AB31" s="1125">
        <f t="shared" si="21"/>
        <v>2176</v>
      </c>
      <c r="AC31" s="1125">
        <f t="shared" si="21"/>
        <v>1313</v>
      </c>
      <c r="AD31" s="1125">
        <f t="shared" si="21"/>
        <v>0</v>
      </c>
      <c r="AE31" s="1127">
        <f t="shared" si="21"/>
        <v>0</v>
      </c>
      <c r="AF31" s="1128">
        <f t="shared" si="21"/>
        <v>0</v>
      </c>
      <c r="AG31" s="1129">
        <f t="shared" si="21"/>
        <v>0</v>
      </c>
      <c r="AH31" s="1127">
        <f t="shared" si="21"/>
        <v>0</v>
      </c>
      <c r="AI31" s="1117">
        <f t="shared" si="21"/>
        <v>145</v>
      </c>
      <c r="AJ31" s="1117">
        <f t="shared" si="21"/>
        <v>0</v>
      </c>
      <c r="AK31" s="1127">
        <f t="shared" si="21"/>
        <v>0</v>
      </c>
      <c r="AL31" s="1183">
        <f>IF(ISNUMBER(NºAsuntos!G31/NºAsuntos!E31),NºAsuntos!G31/NºAsuntos!E31," - ")</f>
        <v>0.87206266318537862</v>
      </c>
      <c r="AM31" s="1184">
        <f>IF(ISNUMBER(((NºAsuntos!I31/NºAsuntos!G31)*11)/factor_trimestre),((NºAsuntos!I31/NºAsuntos!G31)*11)/factor_trimestre," - ")</f>
        <v>5.097804391217565</v>
      </c>
      <c r="AN31" s="1184">
        <f>IF(ISNUMBER('Resol  Asuntos'!D31/NºAsuntos!G31),'Resol  Asuntos'!D31/NºAsuntos!G31," - ")</f>
        <v>0.14471057884231536</v>
      </c>
      <c r="AO31" s="1185">
        <f>IF(ISNUMBER((NºAsuntos!C31+NºAsuntos!E31)/NºAsuntos!G31),(NºAsuntos!C31+NºAsuntos!E31)/NºAsuntos!G31," - ")</f>
        <v>3.5668662674650697</v>
      </c>
      <c r="AP31" s="1186" t="str">
        <f t="shared" si="2"/>
        <v xml:space="preserve"> - </v>
      </c>
      <c r="AQ31" s="1187">
        <f>IF(OR(ISNUMBER(FIND("01",Criterios!A8,1)),ISNUMBER(FIND("02",Criterios!A8,1)),ISNUMBER(FIND("03",Criterios!A8,1)),ISNUMBER(FIND("04",Criterios!A8,1))),(I31-W31+K31)/(F31-K31),(H31-W31+K31)/(F31-K31))</f>
        <v>-0.64931237721021606</v>
      </c>
      <c r="AR31" s="1188">
        <f>IF(ISNUMBER((Datos!P31-Datos!Q31)/(Datos!R31-Datos!P31+Datos!Q31)),(Datos!P31-Datos!Q31)/(Datos!R31-Datos!P31+Datos!Q31)," - ")</f>
        <v>2.5447690857681431E-2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514.11775564229129</v>
      </c>
      <c r="G33" s="277">
        <f>IF(ISNUMBER(STDEV(G8:G30)),STDEV(G8:G30),"-")</f>
        <v>511.69056869873816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301.45338421909094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39.909719546568027</v>
      </c>
      <c r="AJ33" s="276">
        <f t="shared" si="25"/>
        <v>0</v>
      </c>
      <c r="AK33" s="278">
        <f t="shared" si="25"/>
        <v>0</v>
      </c>
      <c r="AL33" s="273">
        <f t="shared" si="25"/>
        <v>0.28600975250701366</v>
      </c>
      <c r="AM33" s="274">
        <f t="shared" si="25"/>
        <v>14.31851182527549</v>
      </c>
      <c r="AN33" s="274">
        <f t="shared" si="25"/>
        <v>0.10917607325171358</v>
      </c>
      <c r="AO33" s="275">
        <f t="shared" si="25"/>
        <v>7.1532795692536011</v>
      </c>
      <c r="AP33" s="317" t="str">
        <f t="shared" si="25"/>
        <v>-</v>
      </c>
      <c r="AQ33" s="318">
        <f t="shared" si="25"/>
        <v>0.41815413972859516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HMUqTHuDIT5BlfEKhl7D/fY88bt55UyOZj5jOV7ar6TwcAsCiIH3oIX/915MWEEVY5blPTyS+xscBi6fc4Jg==" saltValue="8Nc0nAgLD3WhRGvCjMkp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NAVALMORAL DE LA MATA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-0.25</v>
      </c>
      <c r="F10" s="393">
        <f>IF(ISNUMBER((Datos!K10-Datos!U10)/Datos!U10),(Datos!K10-Datos!U10)/Datos!U10," - ")</f>
        <v>-0.90909090909090906</v>
      </c>
      <c r="G10" s="394">
        <f>IF(ISNUMBER((Datos!L10-Datos!V10)/Datos!V10),(Datos!L10-Datos!V10)/Datos!V10," - ")</f>
        <v>0.17647058823529413</v>
      </c>
      <c r="H10" s="244">
        <f>IF(ISNUMBER((Datos!M10-Datos!W10)/Datos!W10),(Datos!M10-Datos!W10)/Datos!W10," - ")</f>
        <v>-1</v>
      </c>
      <c r="I10" s="395">
        <f>IF(ISNUMBER((Tasas!C10-Datos!BE10)/Datos!BE10),(Tasas!C10-Datos!BE10)/Datos!BE10," - ")</f>
        <v>11.941176470588236</v>
      </c>
      <c r="J10" s="394">
        <f>IF(ISNUMBER((Tasas!D10-Datos!BF10)/Datos!BF10),(Tasas!D10-Datos!BF10)/Datos!BF10," - ")</f>
        <v>-1</v>
      </c>
      <c r="K10" s="396">
        <f>IF(ISNUMBER((Tasas!E10-Datos!BG10)/Datos!BG10),(Tasas!E10-Datos!BG10)/Datos!BG10," - ")</f>
        <v>7.25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0.35384615384615387</v>
      </c>
      <c r="I12" s="395">
        <f>IF(ISNUMBER((Tasas!C12-Datos!BE12)/Datos!BE12),(Tasas!C12-Datos!BE12)/Datos!BE12," - ")</f>
        <v>-7.2737040146418339E-2</v>
      </c>
      <c r="J12" s="394">
        <f>IF(ISNUMBER((Tasas!D12-Datos!BF12)/Datos!BF12),(Tasas!D12-Datos!BF12)/Datos!BF12," - ")</f>
        <v>-3.8709677419354868E-2</v>
      </c>
      <c r="K12" s="396">
        <f>IF(ISNUMBER((Tasas!E12-Datos!BG12)/Datos!BG12),(Tasas!E12-Datos!BG12)/Datos!BG12," - ")</f>
        <v>-4.4118180862953375E-2</v>
      </c>
      <c r="M12" t="e">
        <f>IF(Monitorios="SI",Datos!CE12,0)</f>
        <v>#REF!</v>
      </c>
      <c r="N12" t="e">
        <f>IF(Monitorios="SI",Datos!CF12,0)</f>
        <v>#REF!</v>
      </c>
      <c r="O12" t="e">
        <f>IF(Monitorios="SI",Datos!CG12,0)</f>
        <v>#REF!</v>
      </c>
      <c r="P12" t="e">
        <f>IF(Monitorios="SI",Datos!CH12,0)</f>
        <v>#REF!</v>
      </c>
      <c r="Q12">
        <f>IF(J_V="SI",0,Datos!AG12)</f>
        <v>28</v>
      </c>
      <c r="R12">
        <f>IF(J_V="SI",0,Datos!AH12)</f>
        <v>23</v>
      </c>
      <c r="S12">
        <f>IF(J_V="SI",0,Datos!AI12)</f>
        <v>19</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0.25714285714285712</v>
      </c>
      <c r="I14" s="402">
        <f>IF(ISNUMBER((Tasas!C14-Datos!BE14)/Datos!BE14),(Tasas!C14-Datos!BE14)/Datos!BE14," - ")</f>
        <v>-3.9933558465804549E-2</v>
      </c>
      <c r="J14" s="400">
        <f>IF(ISNUMBER((Tasas!D14-Datos!BF14)/Datos!BF14),(Tasas!D14-Datos!BF14)/Datos!BF14," - ")</f>
        <v>-6.4602683178534653E-2</v>
      </c>
      <c r="K14" s="403">
        <f>IF(ISNUMBER((Tasas!E14-Datos!BG14)/Datos!BG14),(Tasas!E14-Datos!BG14)/Datos!BG14," - ")</f>
        <v>-1.7296921125590673E-2</v>
      </c>
      <c r="M14" t="e">
        <f>IF(Monitorios="SI",Datos!CE14,0)</f>
        <v>#REF!</v>
      </c>
      <c r="N14" t="e">
        <f>IF(Monitorios="SI",Datos!CF14,0)</f>
        <v>#REF!</v>
      </c>
      <c r="O14" t="e">
        <f>IF(Monitorios="SI",Datos!CG14,0)</f>
        <v>#REF!</v>
      </c>
      <c r="P14" t="e">
        <f>IF(Monitorios="SI",Datos!CH14,0)</f>
        <v>#REF!</v>
      </c>
      <c r="Q14">
        <f>IF(J_V="SI",0,Datos!AG14)</f>
        <v>28</v>
      </c>
      <c r="R14">
        <f>IF(J_V="SI",0,Datos!AH14)</f>
        <v>23</v>
      </c>
      <c r="S14">
        <f>IF(J_V="SI",0,Datos!AI14)</f>
        <v>19</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0.26049382716049385</v>
      </c>
      <c r="E17" s="393">
        <f>IF(ISNUMBER(
   IF(D_I="SI",(Datos!J17-Datos!T17)/Datos!T17,(Datos!J17+Datos!AD17-(Datos!T17+Datos!AL17))/(Datos!T17+Datos!AL17))
     ),IF(D_I="SI",(Datos!J17-Datos!T17)/Datos!T17,(Datos!J17+Datos!AD17-(Datos!T17+Datos!AL17))/(Datos!T17+Datos!AL17))," - ")</f>
        <v>0.75388601036269431</v>
      </c>
      <c r="F17" s="393">
        <f>IF(ISNUMBER(
   IF(D_I="SI",(Datos!K17-Datos!U17)/Datos!U17,(Datos!K17+Datos!AE17-(Datos!U17+Datos!AM17))/(Datos!U17+Datos!AM17))
     ),IF(D_I="SI",(Datos!K17-Datos!U17)/Datos!U17,(Datos!K17+Datos!AE17-(Datos!U17+Datos!AM17))/(Datos!U17+Datos!AM17))," - ")</f>
        <v>0.49748743718592964</v>
      </c>
      <c r="G17" s="394">
        <f>IF(ISNUMBER(
   IF(D_I="SI",(Datos!L17-Datos!V17)/Datos!V17,(Datos!L17+Datos!AF17-(Datos!V17+Datos!AN17))/(Datos!V17+Datos!AN17))
     ),IF(D_I="SI",(Datos!L17-Datos!V17)/Datos!V17,(Datos!L17+Datos!AF17-(Datos!V17+Datos!AN17))/(Datos!V17+Datos!AN17))," - ")</f>
        <v>0.28284023668639052</v>
      </c>
      <c r="H17" s="244">
        <f>IF(ISNUMBER((Datos!M17-Datos!W17)/Datos!W17),(Datos!M17-Datos!W17)/Datos!W17," - ")</f>
        <v>3.8461538461538464E-2</v>
      </c>
      <c r="I17" s="395">
        <f>IF(ISNUMBER((Tasas!C17-Datos!BE17)/Datos!BE17),(Tasas!C17-Datos!BE17)/Datos!BE17," - ")</f>
        <v>-0.14333823120606812</v>
      </c>
      <c r="J17" s="394">
        <f>IF(ISNUMBER((Tasas!D17-Datos!BF17)/Datos!BF17),(Tasas!D17-Datos!BF17)/Datos!BF17," - ")</f>
        <v>-0.3065307176045432</v>
      </c>
      <c r="K17" s="396">
        <f>IF(ISNUMBER((Tasas!E17-Datos!BG17)/Datos!BG17),(Tasas!E17-Datos!BG17)/Datos!BG17," - ")</f>
        <v>-5.1923638077708688E-2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-0.24427480916030533</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-0.189873417721519</v>
      </c>
      <c r="G18" s="394">
        <f>IF(ISNUMBER(
   IF(D_I="SI",(Datos!L18-Datos!V18)/Datos!V18,(Datos!L18+Datos!AF18-(Datos!V18+Datos!AN18))/(Datos!V18+Datos!AN18))
     ),IF(D_I="SI",(Datos!L18-Datos!V18)/Datos!V18,(Datos!L18+Datos!AF18-(Datos!V18+Datos!AN18))/(Datos!V18+Datos!AN18))," - ")</f>
        <v>5.6603773584905662E-2</v>
      </c>
      <c r="H18" s="244">
        <f>IF(ISNUMBER((Datos!M18-Datos!W18)/Datos!W18),(Datos!M18-Datos!W18)/Datos!W18," - ")</f>
        <v>0</v>
      </c>
      <c r="I18" s="395">
        <f>IF(ISNUMBER((Tasas!C18-Datos!BE18)/Datos!BE18),(Tasas!C18-Datos!BE18)/Datos!BE18," - ")</f>
        <v>0.30424528301886788</v>
      </c>
      <c r="J18" s="394">
        <f>IF(ISNUMBER((Tasas!D18-Datos!BF18)/Datos!BF18),(Tasas!D18-Datos!BF18)/Datos!BF18," - ")</f>
        <v>0.23437499999999997</v>
      </c>
      <c r="K18" s="396">
        <f>IF(ISNUMBER((Tasas!E18-Datos!BG18)/Datos!BG18),(Tasas!E18-Datos!BG18)/Datos!BG18," - ")</f>
        <v>-7.9908675799087187E-3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0.19022316684378321</v>
      </c>
      <c r="E23" s="399">
        <f>IF(ISNUMBER(
   IF(D_I="SI",(Datos!J23-Datos!T23)/Datos!T23,(Datos!J23+Datos!AD23-(Datos!T23+Datos!AL23))/(Datos!T23+Datos!AL23))
     ),IF(D_I="SI",(Datos!J23-Datos!T23)/Datos!T23,(Datos!J23+Datos!AD23-(Datos!T23+Datos!AL23))/(Datos!T23+Datos!AL23))," - ")</f>
        <v>0.59071729957805907</v>
      </c>
      <c r="F23" s="399">
        <f>IF(ISNUMBER(
   IF(D_I="SI",(Datos!K23-Datos!U23)/Datos!U23,(Datos!K23+Datos!AE23-(Datos!U23+Datos!AM23))/(Datos!U23+Datos!AM23))
     ),IF(D_I="SI",(Datos!K23-Datos!U23)/Datos!U23,(Datos!K23+Datos!AE23-(Datos!U23+Datos!AM23))/(Datos!U23+Datos!AM23))," - ")</f>
        <v>0.38364779874213839</v>
      </c>
      <c r="G23" s="400">
        <f>IF(ISNUMBER(
   IF(D_I="SI",(Datos!L23-Datos!V23)/Datos!V23,(Datos!L23+Datos!AF23-(Datos!V23+Datos!AN23))/(Datos!V23+Datos!AN23))
     ),IF(D_I="SI",(Datos!L23-Datos!V23)/Datos!V23,(Datos!L23+Datos!AF23-(Datos!V23+Datos!AN23))/(Datos!V23+Datos!AN23))," - ")</f>
        <v>0.25762355415352262</v>
      </c>
      <c r="H23" s="401">
        <f>IF(ISNUMBER((Datos!M23-Datos!W23)/Datos!W23),(Datos!M23-Datos!W23)/Datos!W23," - ")</f>
        <v>3.6363636363636362E-2</v>
      </c>
      <c r="I23" s="402">
        <f>IF(ISNUMBER((Tasas!C23-Datos!BE23)/Datos!BE23),(Tasas!C23-Datos!BE23)/Datos!BE23," - ")</f>
        <v>-9.1081158589045072E-2</v>
      </c>
      <c r="J23" s="400">
        <f>IF(ISNUMBER((Tasas!D23-Datos!BF23)/Datos!BF23),(Tasas!D23-Datos!BF23)/Datos!BF23," - ")</f>
        <v>-0.25099173553719006</v>
      </c>
      <c r="K23" s="403">
        <f>IF(ISNUMBER((Tasas!E23-Datos!BG23)/Datos!BG23),(Tasas!E23-Datos!BG23)/Datos!BG23," - ")</f>
        <v>-4.2833279794410505E-2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9.0868196131354023E-2</v>
      </c>
      <c r="E31" s="409">
        <f>IF(ISNUMBER(
   IF(J_V="SI",(Datos!J31-Datos!T31)/Datos!T31,(Datos!J31+Datos!Z31-(Datos!T31+Datos!AH31))/(Datos!T31+Datos!AH31))
     ),IF(J_V="SI",(Datos!J31-Datos!T31)/Datos!T31,(Datos!J31+Datos!Z31-(Datos!T31+Datos!AH31))/(Datos!T31+Datos!AH31))," - ")</f>
        <v>0.52185430463576155</v>
      </c>
      <c r="F31" s="409">
        <f>IF(ISNUMBER(
   IF(J_V="SI",(Datos!K31-Datos!U31)/Datos!U31,(Datos!K31+Datos!AA31-(Datos!U31+Datos!AI31))/(Datos!U31+Datos!AI31))
     ),IF(J_V="SI",(Datos!K31-Datos!U31)/Datos!U31,(Datos!K31+Datos!AA31-(Datos!U31+Datos!AI31))/(Datos!U31+Datos!AI31))," - ")</f>
        <v>0.27480916030534353</v>
      </c>
      <c r="G31" s="410">
        <f>IF(ISNUMBER(
   IF(J_V="SI",(Datos!L31-Datos!V31)/Datos!V31,(Datos!L31+Datos!AB31-(Datos!V31+Datos!AJ31))/(Datos!V31+Datos!AJ31))
     ),IF(J_V="SI",(Datos!L31-Datos!V31)/Datos!V31,(Datos!L31+Datos!AB31-(Datos!V31+Datos!AJ31))/(Datos!V31+Datos!AJ31))," - ")</f>
        <v>0.14580529385374608</v>
      </c>
      <c r="H31" s="411">
        <f>IF(ISNUMBER((Datos!M31-Datos!W31)/Datos!W31),(Datos!M31-Datos!W31)/Datos!W31," - ")</f>
        <v>0.16</v>
      </c>
      <c r="I31" s="408">
        <f>IF(ISNUMBER((Tasas!C31-Datos!BE31)/Datos!BE31),(Tasas!C31-Datos!BE31)/Datos!BE31," - ")</f>
        <v>-0.10119464973149261</v>
      </c>
      <c r="J31" s="409">
        <f>IF(ISNUMBER((Tasas!D31-Datos!BF31)/Datos!BF31),(Tasas!D31-Datos!BF31)/Datos!BF31," - ")</f>
        <v>-0.18755346449957236</v>
      </c>
      <c r="K31" s="410">
        <f>IF(ISNUMBER((Tasas!E31-Datos!BG31)/Datos!BG31),(Tasas!E31-Datos!BG31)/Datos!BG31," - ")</f>
        <v>-5.8577271246627004E-2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0.27430989091889663</v>
      </c>
      <c r="E33" s="303">
        <f t="shared" si="1"/>
        <v>0.50344923609680148</v>
      </c>
      <c r="F33" s="303">
        <f t="shared" si="1"/>
        <v>0.64428647902870606</v>
      </c>
      <c r="G33" s="304">
        <f t="shared" si="1"/>
        <v>0.10185616072754003</v>
      </c>
      <c r="H33" s="310">
        <f t="shared" si="1"/>
        <v>0.48532031331670478</v>
      </c>
      <c r="I33" s="302">
        <f t="shared" si="1"/>
        <v>4.8810846722202754</v>
      </c>
      <c r="J33" s="303">
        <f t="shared" si="1"/>
        <v>0.41914919822553809</v>
      </c>
      <c r="K33" s="304">
        <f t="shared" si="1"/>
        <v>2.9732527286152286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i+LU++rPy5/9bQqO/RdRurVEVijP2+5QiMzIUBk5xwoXBVyq1mGPVIhcAfomz+o/6MW8rKXJIH1p9RaOnMGtQ==" saltValue="Na0cvY7JfkWJnp07edWl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